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915"/>
  <workbookPr date1904="1" showInkAnnotation="0" autoCompressPictures="0"/>
  <bookViews>
    <workbookView xWindow="1220" yWindow="1660" windowWidth="21920" windowHeight="17000" tabRatio="1000"/>
  </bookViews>
  <sheets>
    <sheet name="TableOfContents" sheetId="29" r:id="rId1"/>
    <sheet name="GPPpercapita" sheetId="3" r:id="rId2"/>
    <sheet name="Incomepercapita" sheetId="42" r:id="rId3"/>
    <sheet name="Electricity" sheetId="4" r:id="rId4"/>
    <sheet name="Inequality" sheetId="5" r:id="rId5"/>
    <sheet name="PovertyAnnual" sheetId="6" r:id="rId6"/>
    <sheet name="PovertySemesters" sheetId="26" r:id="rId7"/>
    <sheet name="Employment" sheetId="7" r:id="rId8"/>
    <sheet name="PublicEmployment" sheetId="37" r:id="rId9"/>
    <sheet name="PublicSpendHealth" sheetId="27" r:id="rId10"/>
    <sheet name="PublicSpendNonHealth" sheetId="8" r:id="rId11"/>
    <sheet name="HealthSpPubVsPriv" sheetId="28" r:id="rId12"/>
    <sheet name="BirthAttendance" sheetId="14" r:id="rId13"/>
    <sheet name="HealthPersFacil" sheetId="13" r:id="rId14"/>
    <sheet name="WaterSanitHous" sheetId="12" r:id="rId15"/>
    <sheet name="Education" sheetId="11" r:id="rId16"/>
    <sheet name="MortalityInfant" sheetId="2" r:id="rId17"/>
    <sheet name="MortalityMaternal" sheetId="34" r:id="rId18"/>
    <sheet name="MortalityOther" sheetId="35" r:id="rId19"/>
    <sheet name="Population" sheetId="9" r:id="rId20"/>
    <sheet name="PopulationAged65plus" sheetId="38" r:id="rId21"/>
    <sheet name="Urbanization" sheetId="39" r:id="rId22"/>
    <sheet name="PopulationDensity" sheetId="40" r:id="rId23"/>
    <sheet name="Geography" sheetId="10" r:id="rId24"/>
    <sheet name="ProvLegInstit" sheetId="18" r:id="rId25"/>
    <sheet name="ProvDepsTurnout" sheetId="15" r:id="rId26"/>
    <sheet name="ProvDepsElecCompet" sheetId="16" r:id="rId27"/>
    <sheet name="ProvDepsPJPluralityVote" sheetId="17" r:id="rId28"/>
    <sheet name="ProvDepsGenderQuota" sheetId="21" r:id="rId29"/>
    <sheet name="ProvDepsTotalSeats" sheetId="20" r:id="rId30"/>
    <sheet name="ProvDepsTotalSeats2ºSources" sheetId="33" r:id="rId31"/>
    <sheet name="ProvDepsNºFem1ºSources" sheetId="32" r:id="rId32"/>
    <sheet name="ProvDepsPctFem1ºSources" sheetId="31" r:id="rId33"/>
    <sheet name="ProvDepsPctFem2ºSources" sheetId="19" r:id="rId34"/>
    <sheet name="ProvDepsPctFemAllSources" sheetId="30" r:id="rId35"/>
    <sheet name="NatDepsPctFemale" sheetId="22" r:id="rId36"/>
  </sheets>
  <definedNames>
    <definedName name="_xlnm.Print_Titles" localSheetId="12">BirthAttendance!$A:$D,BirthAttendance!$2:$8</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W32" i="15" l="1"/>
  <c r="V32" i="15"/>
  <c r="X32" i="15"/>
  <c r="W31" i="15"/>
  <c r="V31" i="15"/>
  <c r="X31" i="15"/>
  <c r="W30" i="15"/>
  <c r="V30" i="15"/>
  <c r="X30" i="15"/>
  <c r="W29" i="15"/>
  <c r="V29" i="15"/>
  <c r="X29" i="15"/>
  <c r="W28" i="15"/>
  <c r="V28" i="15"/>
  <c r="X28" i="15"/>
  <c r="W27" i="15"/>
  <c r="V27" i="15"/>
  <c r="X27" i="15"/>
  <c r="W26" i="15"/>
  <c r="V26" i="15"/>
  <c r="X26" i="15"/>
  <c r="M25" i="15"/>
  <c r="W25" i="15"/>
  <c r="V25" i="15"/>
  <c r="X25" i="15"/>
  <c r="W24" i="15"/>
  <c r="V24" i="15"/>
  <c r="X24" i="15"/>
  <c r="W23" i="15"/>
  <c r="V23" i="15"/>
  <c r="X23" i="15"/>
  <c r="J22" i="15"/>
  <c r="W22" i="15"/>
  <c r="V22" i="15"/>
  <c r="X22" i="15"/>
  <c r="W21" i="15"/>
  <c r="V21" i="15"/>
  <c r="X21" i="15"/>
  <c r="W20" i="15"/>
  <c r="V20" i="15"/>
  <c r="X20" i="15"/>
  <c r="W19" i="15"/>
  <c r="V19" i="15"/>
  <c r="X19" i="15"/>
  <c r="W18" i="15"/>
  <c r="V18" i="15"/>
  <c r="X18" i="15"/>
  <c r="W17" i="15"/>
  <c r="V17" i="15"/>
  <c r="X17" i="15"/>
  <c r="W16" i="15"/>
  <c r="V16" i="15"/>
  <c r="X16" i="15"/>
  <c r="W15" i="15"/>
  <c r="V15" i="15"/>
  <c r="X15" i="15"/>
  <c r="W14" i="15"/>
  <c r="V14" i="15"/>
  <c r="X14" i="15"/>
  <c r="W13" i="15"/>
  <c r="V13" i="15"/>
  <c r="X13" i="15"/>
  <c r="W12" i="15"/>
  <c r="V12" i="15"/>
  <c r="X12" i="15"/>
  <c r="W11" i="15"/>
  <c r="V11" i="15"/>
  <c r="X11" i="15"/>
  <c r="W10" i="15"/>
  <c r="V10" i="15"/>
  <c r="X10" i="15"/>
  <c r="W9" i="15"/>
  <c r="V9" i="15"/>
  <c r="X9" i="15"/>
  <c r="J33" i="15"/>
  <c r="AX16" i="16"/>
  <c r="E39" i="30"/>
  <c r="F39" i="30"/>
  <c r="G39" i="30"/>
  <c r="H39" i="30"/>
  <c r="I39" i="30"/>
  <c r="J39" i="30"/>
  <c r="K39" i="30"/>
  <c r="L39" i="30"/>
  <c r="M39" i="30"/>
  <c r="N39" i="30"/>
  <c r="O39" i="30"/>
  <c r="P39" i="30"/>
  <c r="Q39" i="30"/>
  <c r="R39" i="30"/>
  <c r="S39" i="30"/>
  <c r="T39" i="30"/>
  <c r="U39" i="30"/>
  <c r="V39" i="30"/>
  <c r="W39" i="30"/>
  <c r="X39" i="30"/>
  <c r="Y39" i="30"/>
  <c r="Z39" i="30"/>
  <c r="AA39" i="30"/>
  <c r="AB39" i="30"/>
  <c r="AC39" i="30"/>
  <c r="AD39" i="30"/>
  <c r="AE39" i="30"/>
  <c r="AF39" i="30"/>
  <c r="AG39" i="30"/>
  <c r="AJ39" i="30"/>
  <c r="AJ38" i="30"/>
  <c r="AJ37" i="30"/>
  <c r="AJ36" i="30"/>
  <c r="AJ35" i="30"/>
  <c r="AJ34" i="30"/>
  <c r="AI39" i="30"/>
  <c r="AH39" i="30"/>
  <c r="AO32" i="34"/>
  <c r="AN32" i="34"/>
  <c r="AM32" i="34"/>
  <c r="AL32" i="34"/>
  <c r="AO31" i="34"/>
  <c r="AN31" i="34"/>
  <c r="AM31" i="34"/>
  <c r="AL31" i="34"/>
  <c r="AO30" i="34"/>
  <c r="AN30" i="34"/>
  <c r="AM30" i="34"/>
  <c r="AL30" i="34"/>
  <c r="AO29" i="34"/>
  <c r="AN29" i="34"/>
  <c r="AM29" i="34"/>
  <c r="AL29" i="34"/>
  <c r="AO28" i="34"/>
  <c r="AN28" i="34"/>
  <c r="AM28" i="34"/>
  <c r="AL28" i="34"/>
  <c r="AO27" i="34"/>
  <c r="AN27" i="34"/>
  <c r="AM27" i="34"/>
  <c r="AL27" i="34"/>
  <c r="AO26" i="34"/>
  <c r="AN26" i="34"/>
  <c r="AM26" i="34"/>
  <c r="AL26" i="34"/>
  <c r="AO25" i="34"/>
  <c r="AN25" i="34"/>
  <c r="AM25" i="34"/>
  <c r="AL25" i="34"/>
  <c r="AO24" i="34"/>
  <c r="AN24" i="34"/>
  <c r="AM24" i="34"/>
  <c r="AL24" i="34"/>
  <c r="AO23" i="34"/>
  <c r="AN23" i="34"/>
  <c r="AM23" i="34"/>
  <c r="AL23" i="34"/>
  <c r="AO22" i="34"/>
  <c r="AN22" i="34"/>
  <c r="AM22" i="34"/>
  <c r="AL22" i="34"/>
  <c r="AO21" i="34"/>
  <c r="AN21" i="34"/>
  <c r="AM21" i="34"/>
  <c r="AL21" i="34"/>
  <c r="AO20" i="34"/>
  <c r="AN20" i="34"/>
  <c r="AM20" i="34"/>
  <c r="AL20" i="34"/>
  <c r="AO19" i="34"/>
  <c r="AN19" i="34"/>
  <c r="AM19" i="34"/>
  <c r="AL19" i="34"/>
  <c r="AO18" i="34"/>
  <c r="AN18" i="34"/>
  <c r="AM18" i="34"/>
  <c r="AL18" i="34"/>
  <c r="AO17" i="34"/>
  <c r="AN17" i="34"/>
  <c r="AM17" i="34"/>
  <c r="AL17" i="34"/>
  <c r="AO16" i="34"/>
  <c r="AN16" i="34"/>
  <c r="AM16" i="34"/>
  <c r="AL16" i="34"/>
  <c r="AO15" i="34"/>
  <c r="AN15" i="34"/>
  <c r="AM15" i="34"/>
  <c r="AL15" i="34"/>
  <c r="AO14" i="34"/>
  <c r="AN14" i="34"/>
  <c r="AM14" i="34"/>
  <c r="AL14" i="34"/>
  <c r="AO13" i="34"/>
  <c r="AN13" i="34"/>
  <c r="AM13" i="34"/>
  <c r="AL13" i="34"/>
  <c r="AO12" i="34"/>
  <c r="AN12" i="34"/>
  <c r="AM12" i="34"/>
  <c r="AL12" i="34"/>
  <c r="AO11" i="34"/>
  <c r="AN11" i="34"/>
  <c r="AM11" i="34"/>
  <c r="AL11" i="34"/>
  <c r="AO10" i="34"/>
  <c r="AN10" i="34"/>
  <c r="AM10" i="34"/>
  <c r="AL10" i="34"/>
  <c r="AO9" i="34"/>
  <c r="AN9" i="34"/>
  <c r="AM9" i="34"/>
  <c r="AL9" i="34"/>
  <c r="BS31" i="14"/>
  <c r="L31" i="14"/>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AO32" i="37"/>
  <c r="AN32" i="37"/>
  <c r="AM32" i="37"/>
  <c r="AL32" i="37"/>
  <c r="AK32" i="37"/>
  <c r="AJ32" i="37"/>
  <c r="BL31" i="37"/>
  <c r="BK31" i="37"/>
  <c r="BJ31" i="37"/>
  <c r="BI31" i="37"/>
  <c r="BH31" i="37"/>
  <c r="BF31" i="37"/>
  <c r="BE31" i="37"/>
  <c r="BD31" i="37"/>
  <c r="BC31" i="37"/>
  <c r="BB31" i="37"/>
  <c r="BA31" i="37"/>
  <c r="AZ31" i="37"/>
  <c r="AY31" i="37"/>
  <c r="AX31" i="37"/>
  <c r="AW31" i="37"/>
  <c r="AV31" i="37"/>
  <c r="AU31" i="37"/>
  <c r="AT31" i="37"/>
  <c r="AS31" i="37"/>
  <c r="AR31" i="37"/>
  <c r="AQ31" i="37"/>
  <c r="AP31" i="37"/>
  <c r="AO31" i="37"/>
  <c r="AN31" i="37"/>
  <c r="AM31" i="37"/>
  <c r="AL31" i="37"/>
  <c r="AK31" i="37"/>
  <c r="AJ31" i="37"/>
  <c r="BK30" i="37"/>
  <c r="BJ30" i="37"/>
  <c r="BI30" i="37"/>
  <c r="BH30" i="37"/>
  <c r="BG30" i="37"/>
  <c r="BF30" i="37"/>
  <c r="BE30" i="37"/>
  <c r="BD30" i="37"/>
  <c r="BC30" i="37"/>
  <c r="BB30" i="37"/>
  <c r="BA30" i="37"/>
  <c r="AZ30" i="37"/>
  <c r="AY30" i="37"/>
  <c r="AX30" i="37"/>
  <c r="AW30" i="37"/>
  <c r="AV30" i="37"/>
  <c r="AU30" i="37"/>
  <c r="AT30" i="37"/>
  <c r="AS30" i="37"/>
  <c r="AR30" i="37"/>
  <c r="AQ30" i="37"/>
  <c r="AP30" i="37"/>
  <c r="AO30" i="37"/>
  <c r="AN30" i="37"/>
  <c r="AM30" i="37"/>
  <c r="AL30" i="37"/>
  <c r="AK30" i="37"/>
  <c r="AJ30" i="37"/>
  <c r="BL29" i="37"/>
  <c r="BK29" i="37"/>
  <c r="BJ29" i="37"/>
  <c r="BI29" i="37"/>
  <c r="BH29" i="37"/>
  <c r="BG29" i="37"/>
  <c r="BF29" i="37"/>
  <c r="BE29" i="37"/>
  <c r="BD29" i="37"/>
  <c r="BC29" i="37"/>
  <c r="BB29" i="37"/>
  <c r="BA29" i="37"/>
  <c r="AZ29" i="37"/>
  <c r="AY29" i="37"/>
  <c r="AX29" i="37"/>
  <c r="AW29" i="37"/>
  <c r="AV29" i="37"/>
  <c r="AU29" i="37"/>
  <c r="AT29" i="37"/>
  <c r="AS29" i="37"/>
  <c r="AR29" i="37"/>
  <c r="AQ29" i="37"/>
  <c r="AP29" i="37"/>
  <c r="AO29" i="37"/>
  <c r="AN29" i="37"/>
  <c r="AM29" i="37"/>
  <c r="AL29" i="37"/>
  <c r="AK29" i="37"/>
  <c r="AJ29" i="37"/>
  <c r="BL28" i="37"/>
  <c r="BK28" i="37"/>
  <c r="BJ28" i="37"/>
  <c r="BI28" i="37"/>
  <c r="BH28" i="37"/>
  <c r="BG28" i="37"/>
  <c r="BF28" i="37"/>
  <c r="BE28" i="37"/>
  <c r="BD28" i="37"/>
  <c r="BC28" i="37"/>
  <c r="BB28" i="37"/>
  <c r="BA28" i="37"/>
  <c r="AZ28" i="37"/>
  <c r="AY28" i="37"/>
  <c r="AX28" i="37"/>
  <c r="AW28" i="37"/>
  <c r="AV28" i="37"/>
  <c r="AU28" i="37"/>
  <c r="AT28" i="37"/>
  <c r="AS28" i="37"/>
  <c r="AR28" i="37"/>
  <c r="AQ28" i="37"/>
  <c r="AP28" i="37"/>
  <c r="AO28" i="37"/>
  <c r="AN28" i="37"/>
  <c r="AM28" i="37"/>
  <c r="AL28" i="37"/>
  <c r="AK28" i="37"/>
  <c r="AJ28" i="37"/>
  <c r="BD27" i="37"/>
  <c r="BC27" i="37"/>
  <c r="BB27" i="37"/>
  <c r="BA27" i="37"/>
  <c r="AZ27" i="37"/>
  <c r="AY27" i="37"/>
  <c r="AX27" i="37"/>
  <c r="AW27" i="37"/>
  <c r="AV27" i="37"/>
  <c r="AU27" i="37"/>
  <c r="AT27" i="37"/>
  <c r="AS27" i="37"/>
  <c r="AR27" i="37"/>
  <c r="AQ27" i="37"/>
  <c r="AP27" i="37"/>
  <c r="AO27" i="37"/>
  <c r="AN27" i="37"/>
  <c r="AM27" i="37"/>
  <c r="AL27" i="37"/>
  <c r="AK27" i="37"/>
  <c r="AJ27" i="37"/>
  <c r="BK26" i="37"/>
  <c r="BJ26" i="37"/>
  <c r="BI26" i="37"/>
  <c r="BH26" i="37"/>
  <c r="BG26" i="37"/>
  <c r="BF26" i="37"/>
  <c r="BE26" i="37"/>
  <c r="BD26" i="37"/>
  <c r="BC26" i="37"/>
  <c r="BB26" i="37"/>
  <c r="BA26" i="37"/>
  <c r="AZ26" i="37"/>
  <c r="AY26" i="37"/>
  <c r="AX26" i="37"/>
  <c r="AW26" i="37"/>
  <c r="AV26" i="37"/>
  <c r="AU26" i="37"/>
  <c r="AT26" i="37"/>
  <c r="AS26" i="37"/>
  <c r="AR26" i="37"/>
  <c r="AQ26" i="37"/>
  <c r="AP26" i="37"/>
  <c r="AO26" i="37"/>
  <c r="AN26" i="37"/>
  <c r="AM26" i="37"/>
  <c r="AL26" i="37"/>
  <c r="AK26" i="37"/>
  <c r="AJ26" i="37"/>
  <c r="BK25" i="37"/>
  <c r="BJ25" i="37"/>
  <c r="BI25" i="37"/>
  <c r="BH25" i="37"/>
  <c r="BG25" i="37"/>
  <c r="BF25" i="37"/>
  <c r="BE25" i="37"/>
  <c r="BD25" i="37"/>
  <c r="BC25" i="37"/>
  <c r="BB25" i="37"/>
  <c r="BA25" i="37"/>
  <c r="AZ25" i="37"/>
  <c r="AY25" i="37"/>
  <c r="AX25" i="37"/>
  <c r="AW25" i="37"/>
  <c r="AV25" i="37"/>
  <c r="AU25" i="37"/>
  <c r="AT25" i="37"/>
  <c r="AS25" i="37"/>
  <c r="AR25" i="37"/>
  <c r="AQ25" i="37"/>
  <c r="AP25" i="37"/>
  <c r="AO25" i="37"/>
  <c r="AN25" i="37"/>
  <c r="AM25" i="37"/>
  <c r="AL25" i="37"/>
  <c r="AK25" i="37"/>
  <c r="AJ25" i="37"/>
  <c r="BL24" i="37"/>
  <c r="BK24" i="37"/>
  <c r="BJ24" i="37"/>
  <c r="BI24" i="37"/>
  <c r="BH24" i="37"/>
  <c r="BG24" i="37"/>
  <c r="BF24" i="37"/>
  <c r="BE24" i="37"/>
  <c r="BD24" i="37"/>
  <c r="BC24" i="37"/>
  <c r="BB24" i="37"/>
  <c r="BA24" i="37"/>
  <c r="AZ24" i="37"/>
  <c r="AY24" i="37"/>
  <c r="AX24" i="37"/>
  <c r="AW24" i="37"/>
  <c r="AV24" i="37"/>
  <c r="AU24" i="37"/>
  <c r="AT24" i="37"/>
  <c r="AS24" i="37"/>
  <c r="AR24" i="37"/>
  <c r="AQ24" i="37"/>
  <c r="AP24" i="37"/>
  <c r="AO24" i="37"/>
  <c r="AN24" i="37"/>
  <c r="AM24" i="37"/>
  <c r="AL24" i="37"/>
  <c r="AK24" i="37"/>
  <c r="AJ24" i="37"/>
  <c r="BL23" i="37"/>
  <c r="BK23" i="37"/>
  <c r="BJ23" i="37"/>
  <c r="BI23" i="37"/>
  <c r="BH23" i="37"/>
  <c r="BG23" i="37"/>
  <c r="BF23" i="37"/>
  <c r="BE23" i="37"/>
  <c r="BD23" i="37"/>
  <c r="BC23" i="37"/>
  <c r="BB23" i="37"/>
  <c r="BA23" i="37"/>
  <c r="AZ23" i="37"/>
  <c r="AY23" i="37"/>
  <c r="AX23" i="37"/>
  <c r="AW23" i="37"/>
  <c r="AV23" i="37"/>
  <c r="AU23" i="37"/>
  <c r="AT23" i="37"/>
  <c r="AS23" i="37"/>
  <c r="AR23" i="37"/>
  <c r="AQ23" i="37"/>
  <c r="AP23" i="37"/>
  <c r="AO23" i="37"/>
  <c r="AN23" i="37"/>
  <c r="AM23" i="37"/>
  <c r="AL23" i="37"/>
  <c r="AK23" i="37"/>
  <c r="AJ23" i="37"/>
  <c r="BL22" i="37"/>
  <c r="BK22" i="37"/>
  <c r="BJ22" i="37"/>
  <c r="BI22" i="37"/>
  <c r="BH22" i="37"/>
  <c r="BG22" i="37"/>
  <c r="BF22" i="37"/>
  <c r="BE22" i="37"/>
  <c r="BD22" i="37"/>
  <c r="BC22" i="37"/>
  <c r="BB22" i="37"/>
  <c r="BA22" i="37"/>
  <c r="AZ22" i="37"/>
  <c r="AY22" i="37"/>
  <c r="AX22" i="37"/>
  <c r="AW22" i="37"/>
  <c r="AV22" i="37"/>
  <c r="AU22" i="37"/>
  <c r="AT22" i="37"/>
  <c r="AS22" i="37"/>
  <c r="AR22" i="37"/>
  <c r="AQ22" i="37"/>
  <c r="AP22" i="37"/>
  <c r="AO22" i="37"/>
  <c r="AN22" i="37"/>
  <c r="AM22" i="37"/>
  <c r="AL22" i="37"/>
  <c r="AK22" i="37"/>
  <c r="AJ22" i="37"/>
  <c r="BK21" i="37"/>
  <c r="BJ21" i="37"/>
  <c r="BI21" i="37"/>
  <c r="BH21" i="37"/>
  <c r="BG21" i="37"/>
  <c r="BF21" i="37"/>
  <c r="BE21" i="37"/>
  <c r="BD21" i="37"/>
  <c r="BC21" i="37"/>
  <c r="BB21" i="37"/>
  <c r="BA21" i="37"/>
  <c r="AZ21" i="37"/>
  <c r="AY21" i="37"/>
  <c r="AX21" i="37"/>
  <c r="AW21" i="37"/>
  <c r="AV21" i="37"/>
  <c r="AU21" i="37"/>
  <c r="AT21" i="37"/>
  <c r="AS21" i="37"/>
  <c r="AR21" i="37"/>
  <c r="AQ21" i="37"/>
  <c r="AP21" i="37"/>
  <c r="AO21" i="37"/>
  <c r="AN21" i="37"/>
  <c r="AM21" i="37"/>
  <c r="AL21" i="37"/>
  <c r="AK21" i="37"/>
  <c r="AJ21" i="37"/>
  <c r="BL20" i="37"/>
  <c r="BK20" i="37"/>
  <c r="BJ20" i="37"/>
  <c r="BI20" i="37"/>
  <c r="BH20" i="37"/>
  <c r="BG20" i="37"/>
  <c r="BF20" i="37"/>
  <c r="BE20" i="37"/>
  <c r="BD20" i="37"/>
  <c r="BC20" i="37"/>
  <c r="BB20" i="37"/>
  <c r="BA20" i="37"/>
  <c r="AZ20" i="37"/>
  <c r="AY20" i="37"/>
  <c r="AX20" i="37"/>
  <c r="AW20" i="37"/>
  <c r="AV20" i="37"/>
  <c r="AU20" i="37"/>
  <c r="AT20" i="37"/>
  <c r="AS20" i="37"/>
  <c r="AR20" i="37"/>
  <c r="AQ20" i="37"/>
  <c r="AP20" i="37"/>
  <c r="AO20" i="37"/>
  <c r="AN20" i="37"/>
  <c r="AM20" i="37"/>
  <c r="AL20" i="37"/>
  <c r="AK20" i="37"/>
  <c r="AJ20" i="37"/>
  <c r="BD19" i="37"/>
  <c r="BC19" i="37"/>
  <c r="BB19" i="37"/>
  <c r="BA19" i="37"/>
  <c r="AZ19" i="37"/>
  <c r="AY19" i="37"/>
  <c r="AX19" i="37"/>
  <c r="AW19" i="37"/>
  <c r="AV19" i="37"/>
  <c r="AU19" i="37"/>
  <c r="AT19" i="37"/>
  <c r="AS19" i="37"/>
  <c r="AR19" i="37"/>
  <c r="AQ19" i="37"/>
  <c r="AP19" i="37"/>
  <c r="AO19" i="37"/>
  <c r="AN19" i="37"/>
  <c r="AM19" i="37"/>
  <c r="AL19" i="37"/>
  <c r="AK19" i="37"/>
  <c r="AJ19" i="37"/>
  <c r="BL18" i="37"/>
  <c r="BK18" i="37"/>
  <c r="BJ18" i="37"/>
  <c r="BI18" i="37"/>
  <c r="BH18" i="37"/>
  <c r="BG18" i="37"/>
  <c r="BF18" i="37"/>
  <c r="BE18" i="37"/>
  <c r="BD18" i="37"/>
  <c r="BC18" i="37"/>
  <c r="BB18" i="37"/>
  <c r="BA18" i="37"/>
  <c r="AZ18" i="37"/>
  <c r="AY18" i="37"/>
  <c r="AX18" i="37"/>
  <c r="AW18" i="37"/>
  <c r="AV18" i="37"/>
  <c r="AU18" i="37"/>
  <c r="AT18" i="37"/>
  <c r="AS18" i="37"/>
  <c r="AR18" i="37"/>
  <c r="AQ18" i="37"/>
  <c r="AP18" i="37"/>
  <c r="AO18" i="37"/>
  <c r="AN18" i="37"/>
  <c r="AM18" i="37"/>
  <c r="AL18" i="37"/>
  <c r="AK18" i="37"/>
  <c r="AJ18" i="37"/>
  <c r="BL17" i="37"/>
  <c r="BK17" i="37"/>
  <c r="BJ17" i="37"/>
  <c r="BI17" i="37"/>
  <c r="BH17" i="37"/>
  <c r="BG17" i="37"/>
  <c r="BF17" i="37"/>
  <c r="BE17" i="37"/>
  <c r="BD17" i="37"/>
  <c r="BC17" i="37"/>
  <c r="BB17" i="37"/>
  <c r="BA17" i="37"/>
  <c r="AZ17" i="37"/>
  <c r="AY17" i="37"/>
  <c r="AX17" i="37"/>
  <c r="AW17" i="37"/>
  <c r="AV17" i="37"/>
  <c r="AU17" i="37"/>
  <c r="AT17" i="37"/>
  <c r="AS17" i="37"/>
  <c r="AR17" i="37"/>
  <c r="AQ17" i="37"/>
  <c r="AP17" i="37"/>
  <c r="AO17" i="37"/>
  <c r="AN17" i="37"/>
  <c r="AM17" i="37"/>
  <c r="AL17" i="37"/>
  <c r="AK17" i="37"/>
  <c r="AJ17" i="37"/>
  <c r="BL16" i="37"/>
  <c r="BK16" i="37"/>
  <c r="BJ16" i="37"/>
  <c r="BI16" i="37"/>
  <c r="BH16" i="37"/>
  <c r="BG16" i="37"/>
  <c r="BF16" i="37"/>
  <c r="BE16" i="37"/>
  <c r="BD16" i="37"/>
  <c r="BC16" i="37"/>
  <c r="BB16" i="37"/>
  <c r="BA16" i="37"/>
  <c r="AZ16" i="37"/>
  <c r="AY16" i="37"/>
  <c r="AX16" i="37"/>
  <c r="AW16" i="37"/>
  <c r="AV16" i="37"/>
  <c r="AU16" i="37"/>
  <c r="AT16" i="37"/>
  <c r="AS16" i="37"/>
  <c r="AR16" i="37"/>
  <c r="AQ16" i="37"/>
  <c r="AP16" i="37"/>
  <c r="AO16" i="37"/>
  <c r="AN16" i="37"/>
  <c r="AM16" i="37"/>
  <c r="AL16" i="37"/>
  <c r="AK16" i="37"/>
  <c r="AJ16" i="37"/>
  <c r="BL15" i="37"/>
  <c r="BI15" i="37"/>
  <c r="BH15" i="37"/>
  <c r="BG15" i="37"/>
  <c r="BF15" i="37"/>
  <c r="BE15" i="37"/>
  <c r="BD15" i="37"/>
  <c r="BC15" i="37"/>
  <c r="BB15" i="37"/>
  <c r="BA15" i="37"/>
  <c r="AZ15" i="37"/>
  <c r="AY15" i="37"/>
  <c r="AX15" i="37"/>
  <c r="AW15" i="37"/>
  <c r="AV15" i="37"/>
  <c r="AU15" i="37"/>
  <c r="AT15" i="37"/>
  <c r="AS15" i="37"/>
  <c r="AR15" i="37"/>
  <c r="AQ15" i="37"/>
  <c r="AP15" i="37"/>
  <c r="AO15" i="37"/>
  <c r="AN15" i="37"/>
  <c r="AM15" i="37"/>
  <c r="AL15" i="37"/>
  <c r="AK15" i="37"/>
  <c r="AJ15" i="37"/>
  <c r="BL14" i="37"/>
  <c r="BK14" i="37"/>
  <c r="BJ14" i="37"/>
  <c r="BI14" i="37"/>
  <c r="BH14" i="37"/>
  <c r="BG14" i="37"/>
  <c r="BF14" i="37"/>
  <c r="BE14" i="37"/>
  <c r="BD14" i="37"/>
  <c r="BC14" i="37"/>
  <c r="BB14" i="37"/>
  <c r="BA14" i="37"/>
  <c r="AZ14" i="37"/>
  <c r="AY14" i="37"/>
  <c r="AX14" i="37"/>
  <c r="AW14" i="37"/>
  <c r="AV14" i="37"/>
  <c r="AU14" i="37"/>
  <c r="AT14" i="37"/>
  <c r="AS14" i="37"/>
  <c r="AR14" i="37"/>
  <c r="AQ14" i="37"/>
  <c r="AP14" i="37"/>
  <c r="AO14" i="37"/>
  <c r="AN14" i="37"/>
  <c r="AM14" i="37"/>
  <c r="AL14" i="37"/>
  <c r="AK14" i="37"/>
  <c r="AJ14" i="37"/>
  <c r="BL13" i="37"/>
  <c r="BK13" i="37"/>
  <c r="BJ13" i="37"/>
  <c r="BI13" i="37"/>
  <c r="BH13" i="37"/>
  <c r="BG13" i="37"/>
  <c r="BF13" i="37"/>
  <c r="BE13" i="37"/>
  <c r="BD13" i="37"/>
  <c r="BC13" i="37"/>
  <c r="BB13" i="37"/>
  <c r="BA13" i="37"/>
  <c r="AZ13" i="37"/>
  <c r="AY13" i="37"/>
  <c r="AX13" i="37"/>
  <c r="AW13" i="37"/>
  <c r="AV13" i="37"/>
  <c r="AU13" i="37"/>
  <c r="AT13" i="37"/>
  <c r="AS13" i="37"/>
  <c r="AR13" i="37"/>
  <c r="AQ13" i="37"/>
  <c r="AP13" i="37"/>
  <c r="AO13" i="37"/>
  <c r="AN13" i="37"/>
  <c r="AM13" i="37"/>
  <c r="AL13" i="37"/>
  <c r="AK13" i="37"/>
  <c r="AJ13" i="37"/>
  <c r="BL12" i="37"/>
  <c r="BK12" i="37"/>
  <c r="BG12" i="37"/>
  <c r="BF12" i="37"/>
  <c r="BE12" i="37"/>
  <c r="BD12" i="37"/>
  <c r="BC12" i="37"/>
  <c r="BB12" i="37"/>
  <c r="BA12" i="37"/>
  <c r="AZ12" i="37"/>
  <c r="AY12" i="37"/>
  <c r="AX12" i="37"/>
  <c r="AW12" i="37"/>
  <c r="AV12" i="37"/>
  <c r="AU12" i="37"/>
  <c r="AT12" i="37"/>
  <c r="AS12" i="37"/>
  <c r="AR12" i="37"/>
  <c r="AQ12" i="37"/>
  <c r="AP12" i="37"/>
  <c r="AO12" i="37"/>
  <c r="AN12" i="37"/>
  <c r="AM12" i="37"/>
  <c r="AL12" i="37"/>
  <c r="AK12" i="37"/>
  <c r="AJ12" i="37"/>
  <c r="BL11" i="37"/>
  <c r="BK11" i="37"/>
  <c r="BJ11" i="37"/>
  <c r="BI11" i="37"/>
  <c r="BH11" i="37"/>
  <c r="BG11" i="37"/>
  <c r="BF11" i="37"/>
  <c r="BE11" i="37"/>
  <c r="BD11" i="37"/>
  <c r="BC11" i="37"/>
  <c r="BB11" i="37"/>
  <c r="BA11" i="37"/>
  <c r="AZ11" i="37"/>
  <c r="AY11" i="37"/>
  <c r="AX11" i="37"/>
  <c r="AW11" i="37"/>
  <c r="AV11" i="37"/>
  <c r="AU11" i="37"/>
  <c r="AT11" i="37"/>
  <c r="AS11" i="37"/>
  <c r="AR11" i="37"/>
  <c r="AQ11" i="37"/>
  <c r="AP11" i="37"/>
  <c r="AO11" i="37"/>
  <c r="AN11" i="37"/>
  <c r="AM11" i="37"/>
  <c r="AL11" i="37"/>
  <c r="AK11" i="37"/>
  <c r="AJ11" i="37"/>
  <c r="BG10" i="37"/>
  <c r="BF10" i="37"/>
  <c r="BE10" i="37"/>
  <c r="BD10" i="37"/>
  <c r="BC10" i="37"/>
  <c r="BB10" i="37"/>
  <c r="BA10" i="37"/>
  <c r="AZ10" i="37"/>
  <c r="AY10" i="37"/>
  <c r="AX10" i="37"/>
  <c r="AW10" i="37"/>
  <c r="AV10" i="37"/>
  <c r="AU10" i="37"/>
  <c r="AT10" i="37"/>
  <c r="AS10" i="37"/>
  <c r="AR10" i="37"/>
  <c r="AQ10" i="37"/>
  <c r="AP10" i="37"/>
  <c r="AO10" i="37"/>
  <c r="AN10" i="37"/>
  <c r="AM10" i="37"/>
  <c r="AL10" i="37"/>
  <c r="AK10" i="37"/>
  <c r="AJ10" i="37"/>
  <c r="BL9" i="37"/>
  <c r="BK9" i="37"/>
  <c r="BJ9" i="37"/>
  <c r="BI9" i="37"/>
  <c r="BH9" i="37"/>
  <c r="BG9" i="37"/>
  <c r="BF9" i="37"/>
  <c r="BE9" i="37"/>
  <c r="BD9" i="37"/>
  <c r="BC9" i="37"/>
  <c r="BB9" i="37"/>
  <c r="BA9" i="37"/>
  <c r="AZ9" i="37"/>
  <c r="AY9" i="37"/>
  <c r="AX9" i="37"/>
  <c r="AW9" i="37"/>
  <c r="AV9" i="37"/>
  <c r="AU9" i="37"/>
  <c r="AT9" i="37"/>
  <c r="AS9" i="37"/>
  <c r="AR9" i="37"/>
  <c r="AQ9" i="37"/>
  <c r="AP9" i="37"/>
  <c r="AO9" i="37"/>
  <c r="AN9" i="37"/>
  <c r="AM9" i="37"/>
  <c r="AL9" i="37"/>
  <c r="AK9" i="37"/>
  <c r="AJ9" i="37"/>
  <c r="AI32" i="37"/>
  <c r="AI31" i="37"/>
  <c r="AI30" i="37"/>
  <c r="AI29" i="37"/>
  <c r="AI28" i="37"/>
  <c r="AI27" i="37"/>
  <c r="AI26" i="37"/>
  <c r="AI25" i="37"/>
  <c r="AI24" i="37"/>
  <c r="AI23" i="37"/>
  <c r="AI22" i="37"/>
  <c r="AI21" i="37"/>
  <c r="AI20" i="37"/>
  <c r="AI19" i="37"/>
  <c r="AI18" i="37"/>
  <c r="AI17" i="37"/>
  <c r="AI16" i="37"/>
  <c r="AI15" i="37"/>
  <c r="AI14" i="37"/>
  <c r="AI13" i="37"/>
  <c r="AI12" i="37"/>
  <c r="AI11" i="37"/>
  <c r="AI10" i="37"/>
  <c r="AI9" i="37"/>
  <c r="Z34" i="37"/>
  <c r="Y34" i="37"/>
  <c r="X34" i="37"/>
  <c r="W34" i="37"/>
  <c r="V34" i="37"/>
  <c r="U34" i="37"/>
  <c r="T34" i="37"/>
  <c r="S34" i="37"/>
  <c r="R34" i="37"/>
  <c r="Q34" i="37"/>
  <c r="P34" i="37"/>
  <c r="O34" i="37"/>
  <c r="N34" i="37"/>
  <c r="M34" i="37"/>
  <c r="L34" i="37"/>
  <c r="K34" i="37"/>
  <c r="J34" i="37"/>
  <c r="I34" i="37"/>
  <c r="H34" i="37"/>
  <c r="G34" i="37"/>
  <c r="F34" i="37"/>
  <c r="E34" i="37"/>
  <c r="BL34" i="14"/>
  <c r="BJ34" i="14"/>
  <c r="BK34" i="14"/>
  <c r="BL32" i="14"/>
  <c r="BL31" i="14"/>
  <c r="BL30" i="14"/>
  <c r="BL29" i="14"/>
  <c r="BL28" i="14"/>
  <c r="BL27" i="14"/>
  <c r="BL26" i="14"/>
  <c r="BL25" i="14"/>
  <c r="BL24" i="14"/>
  <c r="BL23" i="14"/>
  <c r="BL22" i="14"/>
  <c r="BL21" i="14"/>
  <c r="BL20" i="14"/>
  <c r="BL19" i="14"/>
  <c r="BL18" i="14"/>
  <c r="BL17" i="14"/>
  <c r="BL16" i="14"/>
  <c r="BL15" i="14"/>
  <c r="BL14" i="14"/>
  <c r="BL13" i="14"/>
  <c r="BL12" i="14"/>
  <c r="BL11" i="14"/>
  <c r="BL10" i="14"/>
  <c r="BL9" i="14"/>
  <c r="AJ31" i="30"/>
  <c r="AJ12" i="30"/>
  <c r="AJ9" i="30"/>
  <c r="AJ19" i="30"/>
  <c r="AJ32" i="30"/>
  <c r="AJ25" i="30"/>
  <c r="AJ28" i="30"/>
  <c r="AJ30" i="30"/>
  <c r="AJ13" i="30"/>
  <c r="AJ27" i="30"/>
  <c r="AJ21" i="30"/>
  <c r="AJ23" i="30"/>
  <c r="AJ26" i="30"/>
  <c r="AJ22" i="30"/>
  <c r="AJ15" i="30"/>
  <c r="AJ18" i="30"/>
  <c r="AJ29" i="30"/>
  <c r="AJ20" i="30"/>
  <c r="AJ10" i="30"/>
  <c r="AJ17" i="30"/>
  <c r="AJ11" i="30"/>
  <c r="AJ16" i="30"/>
  <c r="AJ14" i="30"/>
  <c r="AJ24" i="30"/>
  <c r="G11" i="33"/>
  <c r="H11" i="33"/>
  <c r="G27" i="33"/>
  <c r="H27" i="33"/>
  <c r="I34" i="33"/>
  <c r="E34" i="33"/>
  <c r="F34" i="33"/>
  <c r="G34" i="33"/>
  <c r="H34" i="33"/>
  <c r="E33" i="31"/>
  <c r="F33" i="31"/>
  <c r="G33" i="31"/>
  <c r="H33" i="31"/>
  <c r="I33" i="31"/>
  <c r="J33" i="31"/>
  <c r="K33" i="31"/>
  <c r="L33" i="31"/>
  <c r="M33" i="31"/>
  <c r="N33" i="31"/>
  <c r="O33" i="31"/>
  <c r="P33" i="31"/>
  <c r="Q33" i="31"/>
  <c r="R33" i="31"/>
  <c r="S33" i="31"/>
  <c r="T33" i="31"/>
  <c r="U33" i="31"/>
  <c r="V33" i="31"/>
  <c r="W33" i="31"/>
  <c r="X33" i="31"/>
  <c r="Y33" i="31"/>
  <c r="Z33" i="31"/>
  <c r="AA33" i="31"/>
  <c r="AB33" i="31"/>
  <c r="AC33" i="31"/>
  <c r="AD33" i="31"/>
  <c r="AE33" i="31"/>
  <c r="AF33" i="31"/>
  <c r="AG33" i="31"/>
  <c r="AH33" i="31"/>
  <c r="AI33" i="31"/>
  <c r="AJ33" i="31"/>
  <c r="AK33" i="31"/>
  <c r="AL33" i="31"/>
  <c r="AJ32" i="31"/>
  <c r="AJ31" i="31"/>
  <c r="AJ30" i="31"/>
  <c r="AJ29" i="31"/>
  <c r="AJ28" i="31"/>
  <c r="AJ27" i="31"/>
  <c r="AJ26" i="31"/>
  <c r="AJ25" i="31"/>
  <c r="AJ24" i="31"/>
  <c r="AJ23" i="31"/>
  <c r="AJ22" i="31"/>
  <c r="AJ21" i="31"/>
  <c r="AJ20" i="31"/>
  <c r="AJ19" i="31"/>
  <c r="AJ18" i="31"/>
  <c r="AJ17" i="31"/>
  <c r="AJ16" i="31"/>
  <c r="AJ15" i="31"/>
  <c r="AJ14" i="31"/>
  <c r="AJ13" i="31"/>
  <c r="AJ12" i="31"/>
  <c r="AJ11" i="31"/>
  <c r="AJ10" i="31"/>
  <c r="AJ9" i="31"/>
  <c r="F33" i="32"/>
  <c r="G33" i="32"/>
  <c r="H33" i="32"/>
  <c r="I33" i="32"/>
  <c r="J33" i="32"/>
  <c r="K33" i="32"/>
  <c r="L33" i="32"/>
  <c r="M33" i="32"/>
  <c r="N33" i="32"/>
  <c r="O33" i="32"/>
  <c r="P33" i="32"/>
  <c r="Q33" i="32"/>
  <c r="R33" i="32"/>
  <c r="S33" i="32"/>
  <c r="T33" i="32"/>
  <c r="U33" i="32"/>
  <c r="V33" i="32"/>
  <c r="W33" i="32"/>
  <c r="X33" i="32"/>
  <c r="Y33" i="32"/>
  <c r="Z33" i="32"/>
  <c r="AA33" i="32"/>
  <c r="AB33" i="32"/>
  <c r="AC33" i="32"/>
  <c r="AD33" i="32"/>
  <c r="AE33" i="32"/>
  <c r="AF33" i="32"/>
  <c r="AG33" i="32"/>
  <c r="AH33" i="32"/>
  <c r="AI33" i="32"/>
  <c r="AJ33" i="32"/>
  <c r="AK33" i="32"/>
  <c r="AL33" i="32"/>
  <c r="AM33" i="32"/>
  <c r="AK32" i="32"/>
  <c r="AK31" i="32"/>
  <c r="AK30" i="32"/>
  <c r="AK29" i="32"/>
  <c r="AK28" i="32"/>
  <c r="AK27" i="32"/>
  <c r="AK26" i="32"/>
  <c r="AK25" i="32"/>
  <c r="AK24" i="32"/>
  <c r="AK23" i="32"/>
  <c r="AK22" i="32"/>
  <c r="AK21" i="32"/>
  <c r="AK20" i="32"/>
  <c r="AK19" i="32"/>
  <c r="AK18" i="32"/>
  <c r="AK17" i="32"/>
  <c r="AK16" i="32"/>
  <c r="AK15" i="32"/>
  <c r="AK14" i="32"/>
  <c r="AK13" i="32"/>
  <c r="AK12" i="32"/>
  <c r="AK11" i="32"/>
  <c r="AK10" i="32"/>
  <c r="AK9" i="32"/>
  <c r="AF32" i="14"/>
  <c r="AF31" i="14"/>
  <c r="AF30" i="14"/>
  <c r="AF29" i="14"/>
  <c r="AF28" i="14"/>
  <c r="AF27" i="14"/>
  <c r="AF26" i="14"/>
  <c r="AF25" i="14"/>
  <c r="AF24" i="14"/>
  <c r="AF23" i="14"/>
  <c r="AF22" i="14"/>
  <c r="AF21" i="14"/>
  <c r="AF20" i="14"/>
  <c r="AF19" i="14"/>
  <c r="AF18" i="14"/>
  <c r="AF17" i="14"/>
  <c r="AF16" i="14"/>
  <c r="AF15" i="14"/>
  <c r="AF14" i="14"/>
  <c r="AF13" i="14"/>
  <c r="AF12" i="14"/>
  <c r="AF11" i="14"/>
  <c r="AF10" i="14"/>
  <c r="AF9" i="14"/>
  <c r="E31" i="14"/>
  <c r="F31" i="14"/>
  <c r="G31" i="14"/>
  <c r="H31" i="14"/>
  <c r="I31" i="14"/>
  <c r="J31" i="14"/>
  <c r="K31" i="14"/>
  <c r="L24" i="14"/>
  <c r="AE32" i="14"/>
  <c r="AD32" i="14"/>
  <c r="AC32" i="14"/>
  <c r="AB32" i="14"/>
  <c r="AA32" i="14"/>
  <c r="Z32" i="14"/>
  <c r="Y32" i="14"/>
  <c r="X32" i="14"/>
  <c r="W32" i="14"/>
  <c r="V32" i="14"/>
  <c r="U32" i="14"/>
  <c r="T32" i="14"/>
  <c r="S32" i="14"/>
  <c r="R32" i="14"/>
  <c r="Q32" i="14"/>
  <c r="P32" i="14"/>
  <c r="O32" i="14"/>
  <c r="N32" i="14"/>
  <c r="M32" i="14"/>
  <c r="L32" i="14"/>
  <c r="K32" i="14"/>
  <c r="J32" i="14"/>
  <c r="I32" i="14"/>
  <c r="H32" i="14"/>
  <c r="G32" i="14"/>
  <c r="F32" i="14"/>
  <c r="AE31" i="14"/>
  <c r="AD31" i="14"/>
  <c r="AC31" i="14"/>
  <c r="AB31" i="14"/>
  <c r="AA31" i="14"/>
  <c r="Z31" i="14"/>
  <c r="Y31" i="14"/>
  <c r="X31" i="14"/>
  <c r="W31" i="14"/>
  <c r="V31" i="14"/>
  <c r="U31" i="14"/>
  <c r="T31" i="14"/>
  <c r="S31" i="14"/>
  <c r="R31" i="14"/>
  <c r="Q31" i="14"/>
  <c r="P31" i="14"/>
  <c r="O31" i="14"/>
  <c r="N31" i="14"/>
  <c r="M31" i="14"/>
  <c r="AE30" i="14"/>
  <c r="AD30" i="14"/>
  <c r="AC30" i="14"/>
  <c r="AB30" i="14"/>
  <c r="AA30" i="14"/>
  <c r="Z30" i="14"/>
  <c r="Y30" i="14"/>
  <c r="X30" i="14"/>
  <c r="W30" i="14"/>
  <c r="V30" i="14"/>
  <c r="U30" i="14"/>
  <c r="T30" i="14"/>
  <c r="S30" i="14"/>
  <c r="R30" i="14"/>
  <c r="Q30" i="14"/>
  <c r="P30" i="14"/>
  <c r="O30" i="14"/>
  <c r="N30" i="14"/>
  <c r="M30" i="14"/>
  <c r="L30" i="14"/>
  <c r="K30" i="14"/>
  <c r="J30" i="14"/>
  <c r="I30" i="14"/>
  <c r="H30" i="14"/>
  <c r="G30" i="14"/>
  <c r="F30" i="14"/>
  <c r="AE29" i="14"/>
  <c r="AD29" i="14"/>
  <c r="AC29" i="14"/>
  <c r="AB29" i="14"/>
  <c r="AA29" i="14"/>
  <c r="Z29" i="14"/>
  <c r="Y29" i="14"/>
  <c r="X29" i="14"/>
  <c r="W29" i="14"/>
  <c r="V29" i="14"/>
  <c r="U29" i="14"/>
  <c r="T29" i="14"/>
  <c r="S29" i="14"/>
  <c r="R29" i="14"/>
  <c r="Q29" i="14"/>
  <c r="P29" i="14"/>
  <c r="O29" i="14"/>
  <c r="N29" i="14"/>
  <c r="M29" i="14"/>
  <c r="L29" i="14"/>
  <c r="K29" i="14"/>
  <c r="J29" i="14"/>
  <c r="I29" i="14"/>
  <c r="H29" i="14"/>
  <c r="G29" i="14"/>
  <c r="F29" i="14"/>
  <c r="AE28" i="14"/>
  <c r="AD28" i="14"/>
  <c r="AC28" i="14"/>
  <c r="AB28" i="14"/>
  <c r="AA28" i="14"/>
  <c r="Z28" i="14"/>
  <c r="Y28" i="14"/>
  <c r="X28" i="14"/>
  <c r="W28" i="14"/>
  <c r="V28" i="14"/>
  <c r="U28" i="14"/>
  <c r="T28" i="14"/>
  <c r="S28" i="14"/>
  <c r="R28" i="14"/>
  <c r="Q28" i="14"/>
  <c r="P28" i="14"/>
  <c r="O28" i="14"/>
  <c r="N28" i="14"/>
  <c r="M28" i="14"/>
  <c r="L28" i="14"/>
  <c r="K28" i="14"/>
  <c r="J28" i="14"/>
  <c r="I28" i="14"/>
  <c r="H28" i="14"/>
  <c r="G28" i="14"/>
  <c r="F28" i="14"/>
  <c r="AE27" i="14"/>
  <c r="AD27" i="14"/>
  <c r="AC27" i="14"/>
  <c r="AB27" i="14"/>
  <c r="AA27" i="14"/>
  <c r="Z27" i="14"/>
  <c r="Y27" i="14"/>
  <c r="X27" i="14"/>
  <c r="W27" i="14"/>
  <c r="V27" i="14"/>
  <c r="U27" i="14"/>
  <c r="T27" i="14"/>
  <c r="S27" i="14"/>
  <c r="R27" i="14"/>
  <c r="Q27" i="14"/>
  <c r="P27" i="14"/>
  <c r="O27" i="14"/>
  <c r="N27" i="14"/>
  <c r="M27" i="14"/>
  <c r="L27" i="14"/>
  <c r="K27" i="14"/>
  <c r="J27" i="14"/>
  <c r="I27" i="14"/>
  <c r="H27" i="14"/>
  <c r="G27" i="14"/>
  <c r="F27" i="14"/>
  <c r="AE26" i="14"/>
  <c r="AD26" i="14"/>
  <c r="AC26" i="14"/>
  <c r="AB26" i="14"/>
  <c r="AA26" i="14"/>
  <c r="Z26" i="14"/>
  <c r="Y26" i="14"/>
  <c r="X26" i="14"/>
  <c r="W26" i="14"/>
  <c r="V26" i="14"/>
  <c r="U26" i="14"/>
  <c r="T26" i="14"/>
  <c r="S26" i="14"/>
  <c r="R26" i="14"/>
  <c r="Q26" i="14"/>
  <c r="P26" i="14"/>
  <c r="O26" i="14"/>
  <c r="N26" i="14"/>
  <c r="M26" i="14"/>
  <c r="L26" i="14"/>
  <c r="K26" i="14"/>
  <c r="J26" i="14"/>
  <c r="I26" i="14"/>
  <c r="H26" i="14"/>
  <c r="G26" i="14"/>
  <c r="F26" i="14"/>
  <c r="AE25" i="14"/>
  <c r="AD25" i="14"/>
  <c r="AC25" i="14"/>
  <c r="AB25" i="14"/>
  <c r="AA25" i="14"/>
  <c r="Z25" i="14"/>
  <c r="Y25" i="14"/>
  <c r="X25" i="14"/>
  <c r="W25" i="14"/>
  <c r="V25" i="14"/>
  <c r="U25" i="14"/>
  <c r="T25" i="14"/>
  <c r="S25" i="14"/>
  <c r="R25" i="14"/>
  <c r="Q25" i="14"/>
  <c r="P25" i="14"/>
  <c r="O25" i="14"/>
  <c r="N25" i="14"/>
  <c r="M25" i="14"/>
  <c r="L25" i="14"/>
  <c r="K25" i="14"/>
  <c r="J25" i="14"/>
  <c r="I25" i="14"/>
  <c r="H25" i="14"/>
  <c r="G25" i="14"/>
  <c r="F25" i="14"/>
  <c r="AE24" i="14"/>
  <c r="AD24" i="14"/>
  <c r="AC24" i="14"/>
  <c r="AB24" i="14"/>
  <c r="AA24" i="14"/>
  <c r="Z24" i="14"/>
  <c r="Y24" i="14"/>
  <c r="X24" i="14"/>
  <c r="W24" i="14"/>
  <c r="V24" i="14"/>
  <c r="U24" i="14"/>
  <c r="T24" i="14"/>
  <c r="S24" i="14"/>
  <c r="R24" i="14"/>
  <c r="Q24" i="14"/>
  <c r="P24" i="14"/>
  <c r="O24" i="14"/>
  <c r="N24" i="14"/>
  <c r="M24" i="14"/>
  <c r="K24" i="14"/>
  <c r="J24" i="14"/>
  <c r="I24" i="14"/>
  <c r="H24" i="14"/>
  <c r="G24" i="14"/>
  <c r="F24"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AE22" i="14"/>
  <c r="AD22" i="14"/>
  <c r="AC22" i="14"/>
  <c r="AB22" i="14"/>
  <c r="AA22" i="14"/>
  <c r="Z22" i="14"/>
  <c r="Y22" i="14"/>
  <c r="X22" i="14"/>
  <c r="W22" i="14"/>
  <c r="V22" i="14"/>
  <c r="U22" i="14"/>
  <c r="T22" i="14"/>
  <c r="S22" i="14"/>
  <c r="R22" i="14"/>
  <c r="Q22" i="14"/>
  <c r="P22" i="14"/>
  <c r="O22" i="14"/>
  <c r="N22" i="14"/>
  <c r="M22" i="14"/>
  <c r="L22" i="14"/>
  <c r="K22" i="14"/>
  <c r="J22" i="14"/>
  <c r="I22" i="14"/>
  <c r="H22" i="14"/>
  <c r="G22" i="14"/>
  <c r="F22"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AE20" i="14"/>
  <c r="AD20" i="14"/>
  <c r="AC20" i="14"/>
  <c r="AB20" i="14"/>
  <c r="AA20" i="14"/>
  <c r="Z20" i="14"/>
  <c r="Y20" i="14"/>
  <c r="X20" i="14"/>
  <c r="W20" i="14"/>
  <c r="V20" i="14"/>
  <c r="U20" i="14"/>
  <c r="T20" i="14"/>
  <c r="S20" i="14"/>
  <c r="R20" i="14"/>
  <c r="Q20" i="14"/>
  <c r="P20" i="14"/>
  <c r="O20" i="14"/>
  <c r="N20" i="14"/>
  <c r="M20" i="14"/>
  <c r="L20" i="14"/>
  <c r="K20" i="14"/>
  <c r="J20" i="14"/>
  <c r="I20" i="14"/>
  <c r="H20" i="14"/>
  <c r="G20" i="14"/>
  <c r="F20"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F13"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AE11" i="14"/>
  <c r="AD11" i="14"/>
  <c r="AC11" i="14"/>
  <c r="AB11" i="14"/>
  <c r="AA11" i="14"/>
  <c r="Z11" i="14"/>
  <c r="Y11" i="14"/>
  <c r="X11" i="14"/>
  <c r="W11" i="14"/>
  <c r="V11" i="14"/>
  <c r="U11" i="14"/>
  <c r="T11" i="14"/>
  <c r="S11" i="14"/>
  <c r="R11" i="14"/>
  <c r="Q11" i="14"/>
  <c r="P11" i="14"/>
  <c r="O11" i="14"/>
  <c r="N11" i="14"/>
  <c r="M11" i="14"/>
  <c r="L11" i="14"/>
  <c r="K11" i="14"/>
  <c r="J11" i="14"/>
  <c r="I11" i="14"/>
  <c r="H11" i="14"/>
  <c r="G11" i="14"/>
  <c r="F11" i="14"/>
  <c r="AE10" i="14"/>
  <c r="AD10" i="14"/>
  <c r="AC10" i="14"/>
  <c r="AB10" i="14"/>
  <c r="AA10" i="14"/>
  <c r="Z10" i="14"/>
  <c r="Y10" i="14"/>
  <c r="X10" i="14"/>
  <c r="W10" i="14"/>
  <c r="V10" i="14"/>
  <c r="U10" i="14"/>
  <c r="T10" i="14"/>
  <c r="S10" i="14"/>
  <c r="R10" i="14"/>
  <c r="Q10" i="14"/>
  <c r="P10" i="14"/>
  <c r="O10" i="14"/>
  <c r="N10" i="14"/>
  <c r="M10" i="14"/>
  <c r="L10" i="14"/>
  <c r="K10" i="14"/>
  <c r="J10" i="14"/>
  <c r="I10" i="14"/>
  <c r="H10" i="14"/>
  <c r="G10" i="14"/>
  <c r="F10" i="14"/>
  <c r="AE9" i="14"/>
  <c r="AD9" i="14"/>
  <c r="AC9" i="14"/>
  <c r="AB9" i="14"/>
  <c r="AA9" i="14"/>
  <c r="Z9" i="14"/>
  <c r="Y9" i="14"/>
  <c r="X9" i="14"/>
  <c r="W9" i="14"/>
  <c r="V9" i="14"/>
  <c r="U9" i="14"/>
  <c r="T9" i="14"/>
  <c r="S9" i="14"/>
  <c r="R9" i="14"/>
  <c r="Q9" i="14"/>
  <c r="P9" i="14"/>
  <c r="O9" i="14"/>
  <c r="N9" i="14"/>
  <c r="M9" i="14"/>
  <c r="L9" i="14"/>
  <c r="K9" i="14"/>
  <c r="J9" i="14"/>
  <c r="I9" i="14"/>
  <c r="H9" i="14"/>
  <c r="G9" i="14"/>
  <c r="F9" i="14"/>
  <c r="E32" i="14"/>
  <c r="E30" i="14"/>
  <c r="E29" i="14"/>
  <c r="E28" i="14"/>
  <c r="E27" i="14"/>
  <c r="E26" i="14"/>
  <c r="E25" i="14"/>
  <c r="E24" i="14"/>
  <c r="E23" i="14"/>
  <c r="E22" i="14"/>
  <c r="E21" i="14"/>
  <c r="E20" i="14"/>
  <c r="E19" i="14"/>
  <c r="E18" i="14"/>
  <c r="E17" i="14"/>
  <c r="E16" i="14"/>
  <c r="E15" i="14"/>
  <c r="E14" i="14"/>
  <c r="E13" i="14"/>
  <c r="E12" i="14"/>
  <c r="E11" i="14"/>
  <c r="E10" i="14"/>
  <c r="E9" i="14"/>
  <c r="G34" i="28"/>
  <c r="G32" i="28"/>
  <c r="G31" i="28"/>
  <c r="G30" i="28"/>
  <c r="G29" i="28"/>
  <c r="G28" i="28"/>
  <c r="G27" i="28"/>
  <c r="G26" i="28"/>
  <c r="G25" i="28"/>
  <c r="G24" i="28"/>
  <c r="G23" i="28"/>
  <c r="G22" i="28"/>
  <c r="G21" i="28"/>
  <c r="G20" i="28"/>
  <c r="G19" i="28"/>
  <c r="G18" i="28"/>
  <c r="G17" i="28"/>
  <c r="G16" i="28"/>
  <c r="G15" i="28"/>
  <c r="G14" i="28"/>
  <c r="G13" i="28"/>
  <c r="G12" i="28"/>
  <c r="G11" i="28"/>
  <c r="G10" i="28"/>
  <c r="G9" i="28"/>
  <c r="S34" i="22"/>
  <c r="R34" i="22"/>
  <c r="S9" i="22"/>
  <c r="S10" i="22"/>
  <c r="S11" i="22"/>
  <c r="S12" i="22"/>
  <c r="S13" i="22"/>
  <c r="S14" i="22"/>
  <c r="S15" i="22"/>
  <c r="S16" i="22"/>
  <c r="S17" i="22"/>
  <c r="S18" i="22"/>
  <c r="S19" i="22"/>
  <c r="S20" i="22"/>
  <c r="S21" i="22"/>
  <c r="S22" i="22"/>
  <c r="S23" i="22"/>
  <c r="S24" i="22"/>
  <c r="S25" i="22"/>
  <c r="S26" i="22"/>
  <c r="S27" i="22"/>
  <c r="S28" i="22"/>
  <c r="S29" i="22"/>
  <c r="S30" i="22"/>
  <c r="S31" i="22"/>
  <c r="S32" i="22"/>
  <c r="S33" i="22"/>
  <c r="R9" i="22"/>
  <c r="R10" i="22"/>
  <c r="R11" i="22"/>
  <c r="R12" i="22"/>
  <c r="R13" i="22"/>
  <c r="R14" i="22"/>
  <c r="R15" i="22"/>
  <c r="R16" i="22"/>
  <c r="R17" i="22"/>
  <c r="R18" i="22"/>
  <c r="R19" i="22"/>
  <c r="R20" i="22"/>
  <c r="R21" i="22"/>
  <c r="R22" i="22"/>
  <c r="R23" i="22"/>
  <c r="R24" i="22"/>
  <c r="R25" i="22"/>
  <c r="R26" i="22"/>
  <c r="R27" i="22"/>
  <c r="R28" i="22"/>
  <c r="R29" i="22"/>
  <c r="R30" i="22"/>
  <c r="R31" i="22"/>
  <c r="R32" i="22"/>
  <c r="R33" i="22"/>
  <c r="Q33" i="22"/>
  <c r="P33" i="22"/>
  <c r="O33" i="22"/>
  <c r="N33" i="22"/>
  <c r="M33" i="22"/>
  <c r="L33" i="22"/>
  <c r="K33" i="22"/>
  <c r="J33" i="22"/>
  <c r="I33" i="22"/>
  <c r="H33" i="22"/>
  <c r="G33" i="22"/>
  <c r="F33" i="22"/>
  <c r="R32" i="21"/>
  <c r="R31" i="21"/>
  <c r="R30" i="21"/>
  <c r="R29" i="21"/>
  <c r="R28" i="21"/>
  <c r="R27" i="21"/>
  <c r="R26" i="21"/>
  <c r="R25" i="21"/>
  <c r="R24" i="21"/>
  <c r="R23" i="21"/>
  <c r="R22" i="21"/>
  <c r="R21" i="21"/>
  <c r="R20" i="21"/>
  <c r="R19" i="21"/>
  <c r="R18" i="21"/>
  <c r="R17" i="21"/>
  <c r="R16" i="21"/>
  <c r="R15" i="21"/>
  <c r="R14" i="21"/>
  <c r="R13" i="21"/>
  <c r="R12" i="21"/>
  <c r="R11" i="21"/>
  <c r="R10" i="21"/>
  <c r="R9" i="21"/>
  <c r="F34" i="19"/>
  <c r="P34" i="19"/>
  <c r="Q9" i="19"/>
  <c r="Q10" i="19"/>
  <c r="Q11" i="19"/>
  <c r="Q12" i="19"/>
  <c r="Q13" i="19"/>
  <c r="Q14" i="19"/>
  <c r="Q15" i="19"/>
  <c r="Q16" i="19"/>
  <c r="Q17" i="19"/>
  <c r="Q18" i="19"/>
  <c r="Q19" i="19"/>
  <c r="Q20" i="19"/>
  <c r="Q21" i="19"/>
  <c r="Q22" i="19"/>
  <c r="Q23" i="19"/>
  <c r="Q24" i="19"/>
  <c r="Q25" i="19"/>
  <c r="Q26" i="19"/>
  <c r="Q27" i="19"/>
  <c r="Q28" i="19"/>
  <c r="Q29" i="19"/>
  <c r="Q30" i="19"/>
  <c r="Q31" i="19"/>
  <c r="Q34" i="19"/>
  <c r="O16" i="19"/>
  <c r="O34" i="19"/>
  <c r="M34" i="19"/>
  <c r="G34" i="19"/>
  <c r="E34" i="19"/>
  <c r="Q32" i="19"/>
  <c r="Y33" i="18"/>
  <c r="N33" i="18"/>
  <c r="Y32" i="18"/>
  <c r="Y21" i="18"/>
  <c r="Y30" i="18"/>
  <c r="S30" i="18"/>
  <c r="N30" i="18"/>
  <c r="Y20" i="18"/>
  <c r="N20" i="18"/>
  <c r="Y29" i="18"/>
  <c r="S29" i="18"/>
  <c r="N29" i="18"/>
  <c r="Y19" i="18"/>
  <c r="S19" i="18"/>
  <c r="N19" i="18"/>
  <c r="Y28" i="18"/>
  <c r="N28" i="18"/>
  <c r="Y27" i="18"/>
  <c r="Y18" i="18"/>
  <c r="N17" i="18"/>
  <c r="S16" i="18"/>
  <c r="N16" i="18"/>
  <c r="Y25" i="18"/>
  <c r="Y13" i="18"/>
  <c r="Y24" i="18"/>
  <c r="S24" i="18"/>
  <c r="N24" i="18"/>
  <c r="Y23" i="18"/>
  <c r="Y10" i="18"/>
  <c r="AC9" i="18"/>
  <c r="AB9" i="18"/>
  <c r="AA9" i="18"/>
  <c r="Z9" i="18"/>
  <c r="N9" i="18"/>
  <c r="Y9" i="18"/>
  <c r="CG34" i="14"/>
  <c r="CF34" i="14"/>
  <c r="CE34" i="14"/>
  <c r="CD34" i="14"/>
  <c r="CC34" i="14"/>
  <c r="CG32" i="14"/>
  <c r="CF32" i="14"/>
  <c r="CE32" i="14"/>
  <c r="CD32" i="14"/>
  <c r="CC32" i="14"/>
  <c r="CG31" i="14"/>
  <c r="CF31" i="14"/>
  <c r="CE31" i="14"/>
  <c r="CD31" i="14"/>
  <c r="CC31" i="14"/>
  <c r="CG30" i="14"/>
  <c r="CF30" i="14"/>
  <c r="CE30" i="14"/>
  <c r="CD30" i="14"/>
  <c r="CC30" i="14"/>
  <c r="CG29" i="14"/>
  <c r="CF29" i="14"/>
  <c r="CE29" i="14"/>
  <c r="CD29" i="14"/>
  <c r="CC29" i="14"/>
  <c r="CG28" i="14"/>
  <c r="CF28" i="14"/>
  <c r="CE28" i="14"/>
  <c r="CD28" i="14"/>
  <c r="CC28" i="14"/>
  <c r="CG27" i="14"/>
  <c r="CF27" i="14"/>
  <c r="CE27" i="14"/>
  <c r="CD27" i="14"/>
  <c r="CC27" i="14"/>
  <c r="CG26" i="14"/>
  <c r="CF26" i="14"/>
  <c r="CE26" i="14"/>
  <c r="CD26" i="14"/>
  <c r="CC26" i="14"/>
  <c r="CG25" i="14"/>
  <c r="CF25" i="14"/>
  <c r="CE25" i="14"/>
  <c r="CD25" i="14"/>
  <c r="CC25" i="14"/>
  <c r="CG24" i="14"/>
  <c r="CF24" i="14"/>
  <c r="CE24" i="14"/>
  <c r="CD24" i="14"/>
  <c r="CC24" i="14"/>
  <c r="CG23" i="14"/>
  <c r="CF23" i="14"/>
  <c r="CE23" i="14"/>
  <c r="CD23" i="14"/>
  <c r="CC23" i="14"/>
  <c r="CG22" i="14"/>
  <c r="CF22" i="14"/>
  <c r="CE22" i="14"/>
  <c r="CD22" i="14"/>
  <c r="CC22" i="14"/>
  <c r="CG21" i="14"/>
  <c r="CF21" i="14"/>
  <c r="CE21" i="14"/>
  <c r="CD21" i="14"/>
  <c r="CC21" i="14"/>
  <c r="CG20" i="14"/>
  <c r="CF20" i="14"/>
  <c r="CE20" i="14"/>
  <c r="CD20" i="14"/>
  <c r="CC20" i="14"/>
  <c r="CG19" i="14"/>
  <c r="CF19" i="14"/>
  <c r="CE19" i="14"/>
  <c r="CD19" i="14"/>
  <c r="CC19" i="14"/>
  <c r="CG18" i="14"/>
  <c r="CF18" i="14"/>
  <c r="CE18" i="14"/>
  <c r="CD18" i="14"/>
  <c r="CC18" i="14"/>
  <c r="CG17" i="14"/>
  <c r="CF17" i="14"/>
  <c r="CE17" i="14"/>
  <c r="CD17" i="14"/>
  <c r="CC17" i="14"/>
  <c r="CG16" i="14"/>
  <c r="CF16" i="14"/>
  <c r="CE16" i="14"/>
  <c r="CD16" i="14"/>
  <c r="CC16" i="14"/>
  <c r="CG15" i="14"/>
  <c r="CF15" i="14"/>
  <c r="CE15" i="14"/>
  <c r="CD15" i="14"/>
  <c r="CC15" i="14"/>
  <c r="CG14" i="14"/>
  <c r="CF14" i="14"/>
  <c r="CE14" i="14"/>
  <c r="CD14" i="14"/>
  <c r="CC14" i="14"/>
  <c r="CG13" i="14"/>
  <c r="CF13" i="14"/>
  <c r="CE13" i="14"/>
  <c r="CD13" i="14"/>
  <c r="CC13" i="14"/>
  <c r="CG12" i="14"/>
  <c r="CF12" i="14"/>
  <c r="CE12" i="14"/>
  <c r="CD12" i="14"/>
  <c r="CC12" i="14"/>
  <c r="CG11" i="14"/>
  <c r="CF11" i="14"/>
  <c r="CE11" i="14"/>
  <c r="CD11" i="14"/>
  <c r="CC11" i="14"/>
  <c r="CG10" i="14"/>
  <c r="CF10" i="14"/>
  <c r="CE10" i="14"/>
  <c r="CD10" i="14"/>
  <c r="CC10" i="14"/>
  <c r="CG9" i="14"/>
  <c r="CF9" i="14"/>
  <c r="CE9" i="14"/>
  <c r="CD9" i="14"/>
  <c r="CC9" i="14"/>
  <c r="BB34" i="9"/>
</calcChain>
</file>

<file path=xl/sharedStrings.xml><?xml version="1.0" encoding="utf-8"?>
<sst xmlns="http://schemas.openxmlformats.org/spreadsheetml/2006/main" count="13836" uniqueCount="3669">
  <si>
    <t>PROVDEP%F04</t>
    <phoneticPr fontId="1"/>
  </si>
  <si>
    <t>Colotta 2007</t>
    <phoneticPr fontId="1"/>
  </si>
  <si>
    <t xml:space="preserve"> According to EV for 1998 (published Dec 1999), p. 9, figures for all provinces are from the year 1998.</t>
    <phoneticPr fontId="5" type="noConversion"/>
  </si>
  <si>
    <t xml:space="preserve">Calculated from Argentina. Ministerio de Salud y Acción Social. Dirección de Estadísticas de Salud (1988). Estadísticas vitales. Información Basica Años 1984-1985. Serie 5, Nº 28 (Diciembre de 1988). Buenos Aires: Ministerio de Salud y Acción Social. Tabla 4a, Nacidos vivos registrados según local de ocurrencia y persona que atendió el parto, Año 1984 (p. 24). </t>
    <phoneticPr fontId="5" type="noConversion"/>
  </si>
  <si>
    <t>Calculated from Argentina. Ministerio de Salud y Acción Social. Secretaría de Política y Regulación de Salud. Dirección de Estadística e Información de Salud (1997). Estadísticas vitales. Información Basica Año 1996. Serie 5, Nº 40 (Diciembre de 1997). Buenos Aires: Ministerio de Salud y Acción Social. Tabla 13, Nacidos vivos registrados según local de ocurrencia, Año 1996.</t>
    <phoneticPr fontId="5" type="noConversion"/>
  </si>
  <si>
    <t>Births outside health facilities as a share of all births, 1999</t>
  </si>
  <si>
    <t>2004</t>
    <phoneticPr fontId="1"/>
  </si>
  <si>
    <t>Births outside health facilities as a share of all births, 1997</t>
  </si>
  <si>
    <t>Births outside health facilities as a share of all births, 1998</t>
  </si>
  <si>
    <r>
      <t xml:space="preserve">Calculated from Argentina. Ministerio de Salud. Dirección de Estadística e Información de Salud (2001). </t>
    </r>
    <r>
      <rPr>
        <u/>
        <sz val="9"/>
        <rFont val="Times New Roman"/>
        <family val="1"/>
      </rPr>
      <t>Estadísticas vitales - Información basica Año 2000</t>
    </r>
    <r>
      <rPr>
        <sz val="9"/>
        <rFont val="Times New Roman"/>
        <family val="1"/>
      </rPr>
      <t>. Serie 5 No. 44. Diciembre de 2001. Buenos Aires: Ministerio de Salud. Tabla 15, Nacidos vivos registrados según local de ocurrencia, Año 2000 (p. 19).</t>
    </r>
    <phoneticPr fontId="1"/>
  </si>
  <si>
    <t>Boldface indicates data are problematic. In Río Negro the distribution of births according to location is estimated using 1984 percentages because of problems with the registry. In Catamarca, Formosa, Salta, San Luis, and Santiago del Estero the figures are identical to 1986. According to EV for 1994 (published Dec 1995), p. 9, figures for some provinces are from a year other than 1987, viz.: Catamarca 1984, Formosa 1986, Salta 1986, San Luis 1984, Stgo del Est. 1985, Tucumán 1986</t>
  </si>
  <si>
    <t xml:space="preserve"> According to EV for 1995 (published Dec 1996), p. 11, figures for all provinces are from the year 1995.</t>
    <phoneticPr fontId="5" type="noConversion"/>
  </si>
  <si>
    <t xml:space="preserve"> According to EV for 1996 (published Dec 1997), p. 11, figures for all provinces are from the year 1996.</t>
    <phoneticPr fontId="5" type="noConversion"/>
  </si>
  <si>
    <t xml:space="preserve"> According to EV for 1997 (published Dec 1998), p. 14, figures for all provinces are from the year 1997.</t>
    <phoneticPr fontId="5" type="noConversion"/>
  </si>
  <si>
    <t>Calculated from Argentina. Ministerio de Salud y Acción Social. Secretaría de Salud. Estadísticas de Salud (1994). Estadísticas vitales. Información Basica Año 1994. Serie 5, Nº 38 (Diciembre de 1995). Buenos Aires: Ministerio de Salud y Acción Social. Tabla 8, Nacidos vivos registrados según local de ocurrencia y persona que atendió el parto, Año 1994.</t>
  </si>
  <si>
    <t>Calculated from Argentina. Ministerio de Salud y Acción Social. Secretaría de Política y Regulación de Salud. Dirección de Estadística e Información de Salud (1998). Estadísticas vitales. Información Basica Año 1997. Serie 5, Nº 41 (Diciembre de 1998). Buenos Aires: Ministerio de Salud y Acción Social. Tabla 13, Nacidos vivos registrados según local de ocurrencia, Año 1997.</t>
    <phoneticPr fontId="5" type="noConversion"/>
  </si>
  <si>
    <t>Calculated from Argentina. Ministerio de Salud y Acción Social. Secretaría de Política y Regulación de Salud. Dirección de Estadística e Información de Salud (1998). Estadísticas vitales. Información Basica Año 1997. Serie 5, Nº 41 (Diciembre de 1998). Buenos Aires: Ministerio de Salud y Acción Social. Tabla 13, Nacidos vivos registrados según local de ocurrencia, Año 1997.</t>
    <phoneticPr fontId="5" type="noConversion"/>
  </si>
  <si>
    <t>Calculated from Argentina. Ministerio de Salud y Acción Social. Secretaría de Políticas y Regulación Sanitaria. Dirección de Estadística e Información de Salud (1999). Estadísticas vitales. Información Basica Año 1998. Serie 5, Nº 42 (Diciembre de 1999). Buenos Aires: Ministerio de Salud y Acción Social. Tabla 13, Nacidos vivos registrados según local de ocurrencia, Año 1998.</t>
    <phoneticPr fontId="5" type="noConversion"/>
  </si>
  <si>
    <t>Calculated from Argentina. Ministerio de Salud y Acción Social. Secretaría de Política y Regulación de Salud. Dirección de Estadísticas de Salud (1996). Estadísticas vitales. Información Basica Año 1995. Serie 5, Nº 39 (Diciembre de 1996). Buenos Aires: Ministerio de Salud y Acción Social. Tabla 8, Nacidos vivos registrados según local de ocurrencia, Año 1995.</t>
    <phoneticPr fontId="5" type="noConversion"/>
  </si>
  <si>
    <t>Births outside health facilities as a share of all births, 1996</t>
  </si>
  <si>
    <t>Calculated from Argentina. Ministerio de Salud y Acción Social. Secretaría de Salud. Estadísticas de Salud (1994). Estadísticas vitales. Información Basica Año 1993. Serie 5, Nº 37 (Diciembre de 1994). Buenos Aires: Ministerio de Salud y Acción Social. Tabla 8, Nacidos vivos registrados según local de ocurrencia y persona que atendió el parto, Año 1993.</t>
  </si>
  <si>
    <t>Calculated from Argentina. Ministerio de Salud y Acción Social. Dirección de Estadísticas de Salud (1988). Estadísticas vitales. Información Basica Años 1984-1985. Serie 5, Nº 28 (Diciembre de 1988). Buenos Aires: Ministerio de Salud y Acción Social. Tabla 4a, Nacidos vivos registrados según local de ocurrencia y persona que atendió el parto, Año 1984 (p. 24).</t>
    <phoneticPr fontId="5" type="noConversion"/>
  </si>
  <si>
    <t>Calculated from Argentina. Ministerio de Salud y Acción Social. Dirección de Estadísticas de Salud (1988). Estadísticas vitales. Información Basica Años 1984-1985. Serie 5, Nº 28 (Diciembre de 1988). Buenos Aires: Ministerio de Salud y Acción Social. Tabla 4b, Nacidos vivos registrados según local de ocurrencia y persona que atendió el parto, Año 1985 (p. 25).</t>
    <phoneticPr fontId="5" type="noConversion"/>
  </si>
  <si>
    <t>Calculated from Argentina. Ministerio de Salud y Acción Social. Secretaría de Salud. Dirección de Estadísticas de Salud (1989). Estadísticas vitales. Información Basica Año 1986. Serie 5, Nº 29 (Octubre de 1989). Buenos Aires: Ministerio de Salud y Acción Social. Tabla 4, Nacidos vivos registrados según local de ocurrencia y persona que atendió el parto, Año 1986 (p. 22).</t>
    <phoneticPr fontId="5" type="noConversion"/>
  </si>
  <si>
    <t>Calculated from Argentina. Ministerio de Salud y Acción Social. Secretaría de Políticas y Regulación Sanitaria. Dirección de Estadística e Información de Salud (1999). Estadísticas vitales. Información Basica Año 1998. Serie 5, Nº 42 (Diciembre de 1999). Buenos Aires: Ministerio de Salud y Acción Social. Tabla 13, Nacidos vivos registrados según local de ocurrencia, Año 1998.</t>
  </si>
  <si>
    <t>Calculated from Argentina. Ministerio de Salud y Acción Social. Secretaría de Salud. Dirección de Estadísticas de Salud (1991). Estadísticas vitales. Información Basica Año 1989. Serie 5, Nº 33 (Noviembre de 1991). Buenos Aires: Ministerio de Salud y Acción Social. Tabla 4, Nacidos vivos registrados según local de ocurrencia y persona que atendió el parto, Año 1989.</t>
    <phoneticPr fontId="1"/>
  </si>
  <si>
    <t>Births outside health facilities as a share of all births, 1984</t>
    <phoneticPr fontId="5" type="noConversion"/>
  </si>
  <si>
    <t>Births outside health facilities as a share of all births, 1985</t>
    <phoneticPr fontId="5" type="noConversion"/>
  </si>
  <si>
    <t>Births outside health facilities as a share of all births, 1986</t>
  </si>
  <si>
    <t>Births outside health facilities as a share of all births, 1987</t>
  </si>
  <si>
    <t>Births outside health facilities as a share of all births, 1988</t>
  </si>
  <si>
    <t>Births outside health facilities as a share of all births, 1989</t>
  </si>
  <si>
    <t>Births outside health facilities as a share of all births, 1990</t>
  </si>
  <si>
    <t>Births outside health facilities as a share of all births, 1991</t>
  </si>
  <si>
    <t>Births outside health facilities as a share of all births, 1992</t>
  </si>
  <si>
    <t>Births outside health facilities as a share of all births, 1993</t>
  </si>
  <si>
    <t>Births outside health facilities as a share of all births, 1994</t>
  </si>
  <si>
    <t>Births outside health facilities as a share of all births, 1995</t>
  </si>
  <si>
    <t>Calculated from Argentina. Ministerio de Salud y Acción Social. Secretaría de Salud. Dirección de Estadísticas de Salud (1993). Estadísticas vitales. Información Basica Año 1991. Serie 5, Nº 35 (Noviembre de 1993). Buenos Aires: Ministerio de Salud y Acción Social. Tabla 8, Nacidos vivos registrados según local de ocurrencia y persona que atendió el parto, Año 1991.</t>
  </si>
  <si>
    <t>Calculated from Argentina. Ministerio de Salud y Acción Social. Secretaría de Salud. Estadísticas de Salud (1994). Estadísticas vitales. Información Basica Año 1992. Serie 5, Nº 36 (Abril de 1994). Buenos Aires: Ministerio de Salud y Acción Social. Tabla 8, Nacidos vivos registrados según local de ocurrencia y persona que atendió el parto, Año 1992.</t>
  </si>
  <si>
    <t>Calculated from Argentina. Ministerio de Salud y Acción Social. Secretaría de Salud. Estadísticas de Salud (1994). Estadísticas vitales. Información Basica Año 1994. Serie 5, Nº 38 (Diciembre de 1995). Buenos Aires: Ministerio de Salud y Acción Social. Tabla 8, Nacidos vivos registrados según local de ocurrencia y persona que atendió el parto, Año 1994.</t>
    <phoneticPr fontId="5" type="noConversion"/>
  </si>
  <si>
    <t>Calculated from Argentina. Ministerio de Salud y Acción Social. Dirección de Estadísticas de Salud (1990). Estadísticas vitales. Información Basica Año 1987. Serie 5, Nº 31 (Setiembre de 1990). Buenos Aires: Ministerio de Salud y Acción Social. Tabla 4, Nacidos vivos registrados según local de ocurrencia y persona que atendió el parto, Año 1987 (p. 20).</t>
    <phoneticPr fontId="1"/>
  </si>
  <si>
    <t>Calculated from Argentina. Ministerio de Salud y Acción Social. Subecretaría de Salud. Dirección de Estadísticas de Salud (1991). Estadísticas vitales. Información Basica Año 1988. Serie 5, Nº 32 (Junio de 1991). Buenos Aires: Ministerio de Salud y Acción Social. Tabla 4, Nacidos vivos registrados según local de ocurrencia y persona que atendió el parto, Año 1988 (p. 21).</t>
    <phoneticPr fontId="1"/>
  </si>
  <si>
    <t>Calculated from Argentina. Ministerio de Salud y Acción Social. Subecretaría de Salud. Dirección de Estadísticas de Salud (1991). Estadísticas vitales. Información Basica Año 1988. Serie 5, Nº 32 (Junio de 1991). Buenos Aires: Ministerio de Salud y Acción Social. Tabla 4, Nacidos vivos registrados según local de ocurrencia y persona que atendió el parto, Año 1988 (p. 21). In Río Negro the distribution of births according to location is estimated using 1984 percentages because of problems with the registry. In Catamarca, Chubut, Salta, San Luis, Santa Fe,  Santiago del Estero,  Tucumán, and Tierra del Fuego, the figures are identical to 1987.</t>
  </si>
  <si>
    <t>Calculated from Argentina. Ministerio de Salud y Acción Social. Secretaría de Salud. Dirección de Estadísticas de Salud (1991). Estadísticas vitales. Información Basica Año 1989. Serie 5, Nº 33 (Noviembre de 1991). Buenos Aires: Ministerio de Salud y Acción Social. Tabla 4, Nacidos vivos registrados según local de ocurrencia y persona que atendió el parto, Año 1989. In Río Negro the distribution of births according to location is estimated using 1984 percentages because of problems with the registry. In Capital Federal, Catamarca, Chubut, Misiones, Salta, San Luis, Santiago del Estero,  Tucumán, and Tierra del Fuego, the figures are identical to 1988.</t>
  </si>
  <si>
    <t>Calculated from Argentina. Ministerio de Salud y Acción Social. Secretaría de Políticas y Regulación Sanitaria. Dirección de Estadística e Información de Salud (2000). Estadísticas vitales. Información Basica Año 1999. Serie 5, Nº 43 (Diciembre de 2000). Buenos Aires: Ministerio de Salud y Acción Social. Tabla 13, Nacidos vivos registrados según local de ocurrencia, Año 1999.</t>
    <phoneticPr fontId="5" type="noConversion"/>
  </si>
  <si>
    <t>Calculated from Argentina. Ministerio de Salud y Acción Social. Dirección de Estadísticas de Salud (1990). Estadísticas vitales. Información Basica Año 1987. Serie 5, Nº 31 (Setiembre de 1990). Buenos Aires: Ministerio de Salud y Acción Social. Tabla 4, Nacidos vivos registrados según local de ocurrencia y persona que atendió el parto, Año 1987 (p. 20). In Río Negro the distribution of births according to location is estimated using 1984 percentages because of problems with the registry. In Catamarca, Formosa, Salta, San Luis, and Santiago del Estero the figures are identical to 1986.</t>
  </si>
  <si>
    <t>Births in private homes as a share of all births, 1984</t>
    <phoneticPr fontId="5" type="noConversion"/>
  </si>
  <si>
    <t>Births in private homes as a share of all births, 1985</t>
    <phoneticPr fontId="5" type="noConversion"/>
  </si>
  <si>
    <t>Calculated from Argentina. Ministerio de Salud y Acción Social. Secretaría de Política y Regulación de Salud. Dirección de Estadísticas de Salud (1996). Estadísticas vitales. Información Basica Año 1995. Serie 5, Nº 39 (Diciembre de 1996). Buenos Aires: Ministerio de Salud y Acción Social. Tabla 8, Nacidos vivos registrados según local de ocurrencia, Año 1995.</t>
    <phoneticPr fontId="5" type="noConversion"/>
  </si>
  <si>
    <t xml:space="preserve"> According to EV for 1994 (published Dec 1995), p. 9, figures for some provinces are from a year other than 1992 viz.: Capital Federal 1991, Entre Ríos 1990, La Rioja 1991, Salta 1988, Santa Cruz 1989, Stgo. del Est. 1985, Tucumán 1986.</t>
  </si>
  <si>
    <t xml:space="preserve"> According to EV for 1994 (published Dec 1995), p. 9, figures for some provinces are from a year other than 1993 viz.: Capital Federal 1992, Entre Ríos 1992, Salta 1992, Stgo. del Est. 1985.</t>
  </si>
  <si>
    <t xml:space="preserve"> According to EV for 1994 (published Dec 1995), p. 11, figures for some provinces are from a year other than 1994 viz.: Salta 1992, Stgo. del Est. 1985.</t>
  </si>
  <si>
    <t xml:space="preserve"> According to EV for 1995 (published Dec 1996), p. 11, figures for all provinces are from the year 1995.</t>
    <phoneticPr fontId="5" type="noConversion"/>
  </si>
  <si>
    <t xml:space="preserve"> According to EV for 1996 (published Dec 1997), p. 11, figures for all provinces are from the year 1996.</t>
    <phoneticPr fontId="5" type="noConversion"/>
  </si>
  <si>
    <t xml:space="preserve"> According to EV for 1997 (published Dec 1998), p. 14, figures for all provinces are from the year 1997.</t>
    <phoneticPr fontId="5" type="noConversion"/>
  </si>
  <si>
    <t>Calculated from Argentina. Ministerio de Salud y Acción Social. Secretaría de Salud. Dirección de Estadísticas de Salud (1992). Estadísticas vitales. Información Basica Año 1990. Serie 5, Nº 34 (Noviembre de 1992). Buenos Aires: Ministerio de Salud y Acción Social. Tabla 5, Nacidos vivos registrados según local de ocurrencia y persona que atendió el parto, Año 1990.</t>
  </si>
  <si>
    <t>Calculated from Argentina. Ministerio de Salud y Acción Social. Dirección de Estadísticas de Salud (1988). Estadísticas vitales. Información Basica Años 1984-1985. Serie 5, Nº 28 (Diciembre de 1988). Buenos Aires: Ministerio de Salud y Acción Social. Tabla 4b, Nacidos vivos registrados según local de ocurrencia y persona que atendió el parto, Año 1985 (p. 25).</t>
    <phoneticPr fontId="5" type="noConversion"/>
  </si>
  <si>
    <t>Boldface indicates data are problematic. In Río Negro the distribution of births according to location is estimated using 1984 percentages because of problems with the registry. In Capital Federal, Catamarca, Chubut, Misiones, Salta, San Luis, Santiago del Estero,  Tucumán, and Tierra del Fuego, the figures are identical to 1988. According to EV for 1994 (published Dec 1995), p. 9, figures for some provinces are from a year other than 1989, viz. Capital Federal 1988, Buenos Aires 1988, Catamarca 1984, Chubut 1987, Misiones 1988, Salta 1986, San Luis 1984, Stgo. del Estero 1985, Tucumán 1986, Tierra del F 1987.</t>
  </si>
  <si>
    <t>Boldface indicates data are problematic. Data from Catamarca are incomplete. According to EV for 1994 (published Dec 1995), p. 9, figures for some provinces are from a year other than 1984, viz.: Santa Fé 1983, Stgo. del Est. 1982, Tucumán 1983, Tierra del F 1982.</t>
  </si>
  <si>
    <t>Boldface indicates data are problematic. In Río Negro the distribution of births according to location is estimated using 1984 percentages because of problems with the registry. According to EV for 1994 (published Dec 1995), p. 9, figures for some provinces are from a year other than 1990, viz.: Chubut 1987, Salta 1986, San Luis 1984, Stgo. del Estero 1985, Tucumán 1986, Tierra del Fuego 1987.</t>
  </si>
  <si>
    <t xml:space="preserve"> According to EV for 1994 (published Dec 1995), p. 9, figures for some provinces are from a year other than 1991 viz.:  Chubut 1992, Entre Ríos 1990, La Pampa 1992, Mendoza 1990, Salta 1988, Santa Cruz 1989, Stgo. del Estero 1985, Tucumán 1986.</t>
  </si>
  <si>
    <t>Births in private homes as a share of all births, 1997</t>
  </si>
  <si>
    <t xml:space="preserve"> In original analysis for "Political Factors and Health Outcomes: Insight from Argentina's Provinces" (UNDP, 2010), votegap for Tucumán 1985 mistakenly coded 0.10. Reanalysis with corrected data made no difference to results.</t>
    <phoneticPr fontId="1"/>
  </si>
  <si>
    <t>Births in private homes as a share of all births, 1998</t>
  </si>
  <si>
    <t>Caminotti, Mariana, and Jennifer Piscopo (2010). "Women in Provincial Legislatures," a dataset for Argentina from 1991 to 2007. Kindly sent by Jennifer Piscopo, Postdoctoral Fellow, Center for US-Mexican Studies, UCSD, as an email attachment on February 10, 2010.</t>
    <phoneticPr fontId="1"/>
  </si>
  <si>
    <t>Boldface indicates data are problematic. In Río Negro the distribution of births according to location is estimated using 1984 percentages because of problems with the registry. In Catamarca, Formosa, Salta, San Luis, and Santiago del Estero the figures are identical to 1986. According to EV for 1994 (published Dec 1995), p. 9, figures for some provinces are from a year other than 1987, viz.: Catamarca 1984, Formosa 1986, Salta 1986, San Luis 1984, Stgo del Est. 1985, Tucumán 1986.</t>
  </si>
  <si>
    <t>Boldface indicates data are problematic.Boldface indicates data are problematic. In Río Negro the distribution of births according to location is estimated using 1984 percentages because of problems with the registry. In Catamarca, Chubut, Salta, San Luis, Santiago del Estero, Tucumán, and Tierra del Fuego, the figures are identical to 1987. According to EV for 1994 (published Dec 1995), p. 9, figures for some provinces are from a year other than 1988, viz.: Catamarca 1984, Chubut 1987, Salta 1986, San Luis 1984, Stgo del Est. 1985, Tucumán 1986, Tierra del Fuego 1987.</t>
  </si>
  <si>
    <t>Definition of poverty headcount and attribution to October round of EPH based on a comparison to data for 2001 and 2002 in Argentina. Ministerio de Economía. "Información general de Empleo e Ingresos" accessed March 25, 2011, at www.mecon.gov.ar/download/infoeco/apendice3.xls</t>
  </si>
  <si>
    <t>Boldface indicates data are problematic. Data from Catamarca are incomplete. In Río Negro the distribution of births according to location is estimated using 1984 percentages because of problems with the registry. In Catamarca, Mendoza, San Luis, Santa Fe, and Tucumán the figures are identical to 1984. According to EV for 1994 (published Dec 1995), p. 9, figures for some provinces are from a year other than 1985, viz.: San Luis 1984, Santa Fé 1983, Tucumán 1983.</t>
  </si>
  <si>
    <t>Boldface indicates data are problematic. In Río Negro the distribution of births according to location is estimated using 1984 percentages because of problems with the registry. In Catamarca, Río Negro, San Luis, Santa Fe, Santiago del Estero, and Tucumán the figures are identical to 1985. According to EV for 1994 (published Dec 1995), p. 9, figures for some provinces are from a year other than 1986, viz.: Catamarca 1984, Río Negro 1985, San Luis 1984, Santa Fé 1983, Stgo del Est. 1985, Tucumán 1983.</t>
  </si>
  <si>
    <t>Births in private homes as a share of all births, 1993</t>
  </si>
  <si>
    <t>Births in private homes as a share of all births, 1994</t>
  </si>
  <si>
    <t>Births in private homes as a share of all births, 1995</t>
  </si>
  <si>
    <t>Births in private homes as a share of all births, 1996</t>
  </si>
  <si>
    <t>Before 1997 the data are from Univ. Nac de la Plata, and all of GDP is allocated to a specific province. After 1998 data are from CEPAL, and 5-7% of GDP is unallocated to a specific province. Between 1997 and 1998 GPP plummets in some provinces but not others. Population data are from INDEC (POPI indicator in this database).</t>
    <phoneticPr fontId="1"/>
  </si>
  <si>
    <t>Calculated from Tow, Andy. Atlas Electoral de Andy Tow. Elecciones en la Argentina desde 1983. Accessed January 2010 at http://www.towsa.com/andy/totalpais/index.html.</t>
    <phoneticPr fontId="5" type="noConversion"/>
  </si>
  <si>
    <t xml:space="preserve"> Corrientes figure from Caminotti, Mariana, "Derribar los muros indebidos: Reflexiones en torno de las leyes de cupo femenino in Argentina, Aportes No. 25 (n. d.), p. 24, which is also the source of "As of August 2007"</t>
  </si>
  <si>
    <t xml:space="preserve">Lubertino, María José. "Pioneering Quotas: The Argentine Experience and Beyond." In International Institute for Democracy and Electoral Assistance (IDEA), The Implementation of Quotas: Latin American Experiences. Report of a Workshop in Lima, Peru, February 23-24, 2003, p. 37. </t>
    <phoneticPr fontId="1"/>
  </si>
  <si>
    <t>Info for Entre Rios from Martínez and Garrido 2010, p. 64. Info for Capital Federal from the Electoral Atlas of Andy Tow at http://www.towsa.com/andy/totalpais/capital/se.html</t>
  </si>
  <si>
    <t>Santa Fé</t>
    <phoneticPr fontId="1"/>
  </si>
  <si>
    <t>Births in private homes as a share of all births, 1986</t>
  </si>
  <si>
    <t>Births in private homes as a share of all births, 1987</t>
  </si>
  <si>
    <t>Births in private homes as a share of all births, 1988</t>
  </si>
  <si>
    <t>Births in private homes as a share of all births, 1989</t>
  </si>
  <si>
    <t>Births in private homes as a share of all births, 1990</t>
  </si>
  <si>
    <t>Births in private homes as a share of all births, 1991</t>
  </si>
  <si>
    <t>Births in private homes as a share of all births, 1992</t>
  </si>
  <si>
    <t>Percentage of the popuation in households below the national poverty line, second semester 2009</t>
    <phoneticPr fontId="1"/>
  </si>
  <si>
    <t>Calculated from Tow, Andy. Atlas Electoral de Andy Tow. Elecciones en la Argentina desde 1983. Accessed January 2010 at http://www.towsa.com/andy/totalpais/index.html</t>
    <phoneticPr fontId="5" type="noConversion"/>
  </si>
  <si>
    <t xml:space="preserve"> In original analysis for "Political Factors and Health Outcomes: Insight from Argentina's Provinces" (UNDP, 2010), votesh for Tucumán 1985 mistakenly coded 4.57. Reanalysis with corrected data made no difference to results.</t>
    <phoneticPr fontId="1"/>
  </si>
  <si>
    <t>Percentage of the popuation in households below the national poverty line, second semester 2006</t>
    <phoneticPr fontId="1"/>
  </si>
  <si>
    <t>Percentage of the popuation in households below the national poverty line, first semester 2007</t>
    <phoneticPr fontId="1"/>
  </si>
  <si>
    <t>Percentage of the popuation in households below the national poverty line, second semester 2007</t>
    <phoneticPr fontId="1"/>
  </si>
  <si>
    <t xml:space="preserve"> Includes only the share of GDP that can be assigned to specific provinces; National GDP in 2005 $US (PWT 6.3, var. RGDPCH).</t>
    <phoneticPr fontId="1"/>
  </si>
  <si>
    <t>Data assocated with Porto, Alberto, Director (2004). Disparidades regionales y federalismo fiscal. La Plata, Argentina: Editorial de la Universidad de La Plata. Accessed December 21, 2009, at http://www.depeco.econo.unlp.edu.ar/federalismo/default.html</t>
    <phoneticPr fontId="1"/>
  </si>
  <si>
    <t xml:space="preserve"> Federal Capital population data filled in by taking census figures for 1960, 1970, 1980, 1991, and 2001 and then interpolating for the intervening years using the RATE function in Microsoft Excel.</t>
  </si>
  <si>
    <t>Calculated from Tow, Andy. Atlas Electoral de Andy Tow. Elecciones en la Argentina desde 1983. Accessed January 2010 at http://www.towsa.com/andy/totalpais/index.html.</t>
    <phoneticPr fontId="5" type="noConversion"/>
  </si>
  <si>
    <t xml:space="preserve">Porto, Alberto, Director (2004). Disparidades regionales y federalismo fiscal. La Plata, Argentina: Editorial de la Universidad de La Plata, p. 25. Accessed December 21, 2009, at http://www.depeco.econo.unlp.edu.ar/federalismo/default.htm </t>
    <phoneticPr fontId="1"/>
  </si>
  <si>
    <t>Per capita residential electricity consumpton billed, in KWh per capita, 1984</t>
  </si>
  <si>
    <t>Per capita residential electricity consumpton billed, in KWh per capita, 1985</t>
  </si>
  <si>
    <t>Per capita residential electricity consumpton billed, in KWh per capita, 1986</t>
  </si>
  <si>
    <t>Per capita residential electricity consumpton billed, in KWh per capita, 1987</t>
  </si>
  <si>
    <t>Percentage of the popuation in households below the national poverty line, INDEC, May 2003</t>
    <phoneticPr fontId="1"/>
  </si>
  <si>
    <t>Percentage of the popuation in households below the national poverty line, INDEC, October 2002</t>
    <phoneticPr fontId="1"/>
  </si>
  <si>
    <t>Percentage of the popuation in households below the national poverty line, first semester 2003</t>
    <phoneticPr fontId="1"/>
  </si>
  <si>
    <t>Percentage of the popuation in households below the national poverty line, second semester 2003</t>
    <phoneticPr fontId="1"/>
  </si>
  <si>
    <t xml:space="preserve">CEPAL Buenos Aires, Dinamica Productiva Provincial: Participación provincial en el total nacional del producto bruto geográfico (en porcentajes). Accessed December 24, 2009, at http://www.eclac.org/argentina/noticias/paginas/4/10424/PartPcial.xls </t>
    <phoneticPr fontId="1"/>
  </si>
  <si>
    <t>Includes only the share of GDP that can be assigned to specific provinces, 92-95% of total GDP depending on the year.</t>
  </si>
  <si>
    <t>Buenos Aires figure is the total of "Buenos Aires" and "Gran Buenos Aires."</t>
    <phoneticPr fontId="1"/>
  </si>
  <si>
    <t>Percentage of the popuation in households below the national poverty line, INDEC, May 2002</t>
    <phoneticPr fontId="1"/>
  </si>
  <si>
    <t>Per capita residential electricity consumpton billed, in KWh per capita, 1975</t>
  </si>
  <si>
    <t>Per capita residential electricity consumpton billed, in KWh per capita, 1976</t>
  </si>
  <si>
    <t>Per capita residential electricity consumpton billed, in KWh per capita, 1977</t>
  </si>
  <si>
    <t>Per capita residential electricity consumpton billed, in KWh per capita, 1978</t>
  </si>
  <si>
    <t>Percentage of the popuation in households below the national poverty line, first semester 2008</t>
    <phoneticPr fontId="1"/>
  </si>
  <si>
    <t>Percentage of the popuation in households below the national poverty line, second semester 2008</t>
    <phoneticPr fontId="1"/>
  </si>
  <si>
    <t>Calculated from data assocated with Porto, Alberto, Director (2004). Disparidades regionales y federalismo fiscal. La Plata, Argentina: Editorial de la Universidad de La Plata. Accessed December 21, 2009, at http://www.depeco.econo.unlp.edu.ar/federalismo/default.html</t>
    <phoneticPr fontId="1"/>
  </si>
  <si>
    <t xml:space="preserve"> Federal Capital GPP figures taken from http://www.depeco.econo.unlp.edu.ar/dbregional/excels/pbg.xls</t>
  </si>
  <si>
    <t>POVN2008S1</t>
    <phoneticPr fontId="1" type="noConversion"/>
  </si>
  <si>
    <t>POVN2008S2</t>
    <phoneticPr fontId="1" type="noConversion"/>
  </si>
  <si>
    <t>POVN2009S1</t>
    <phoneticPr fontId="1" type="noConversion"/>
  </si>
  <si>
    <t>POVN2009S2</t>
    <phoneticPr fontId="1" type="noConversion"/>
  </si>
  <si>
    <t>Per capita residential electricity consumpton billed, in KWh per capita, 1982</t>
  </si>
  <si>
    <t>Per capita residential electricity consumpton billed, in KWh per capita, 1983</t>
  </si>
  <si>
    <t>Per capita residential electricity consumpton billed, in KWh per capita, 1991</t>
  </si>
  <si>
    <t>Per capita residential electricity consumpton billed, in KWh per capita, 1992</t>
  </si>
  <si>
    <t>Per capita residential electricity consumpton billed, in KWh per capita, 1994</t>
  </si>
  <si>
    <t>Per capita residential electricity consumpton billed, in KWh per capita, 1995</t>
  </si>
  <si>
    <t>HCDN 2011</t>
    <phoneticPr fontId="1"/>
  </si>
  <si>
    <t>2009</t>
    <phoneticPr fontId="1"/>
  </si>
  <si>
    <t>2002</t>
    <phoneticPr fontId="1"/>
  </si>
  <si>
    <t>Percentage of the popuation in households below the national poverty line, first semester 2004</t>
    <phoneticPr fontId="1"/>
  </si>
  <si>
    <t>Percentage of the popuation in households below the national poverty line, second semester 2004</t>
    <phoneticPr fontId="1"/>
  </si>
  <si>
    <t>Percentage of the popuation in households below the national poverty line, first semester 2005</t>
    <phoneticPr fontId="1"/>
  </si>
  <si>
    <t>Percentage of the popuation in households below the national poverty line, second semester 2005</t>
    <phoneticPr fontId="1"/>
  </si>
  <si>
    <t>Percentage of the popuation in households below the national poverty line, first semester 2006</t>
    <phoneticPr fontId="1"/>
  </si>
  <si>
    <r>
      <t xml:space="preserve">Calculated from Argentina. Ministerio de Salud. Dirección de Estadística e Información de Salud (2009). </t>
    </r>
    <r>
      <rPr>
        <u/>
        <sz val="9"/>
        <rFont val="Times New Roman"/>
        <family val="1"/>
      </rPr>
      <t>Estadísticas vitales. Información basica - 2008</t>
    </r>
    <r>
      <rPr>
        <sz val="9"/>
        <rFont val="Times New Roman"/>
        <family val="1"/>
      </rPr>
      <t>. Serie 5 No. 52. Noviembre de 2009. Buenos Aires: Ministerio de Salud. Tabla 16, Nacidos vivos registrados según local de ocurrencia, Año 2008 (p. 19).</t>
    </r>
    <phoneticPr fontId="1"/>
  </si>
  <si>
    <t>INDEC</t>
    <phoneticPr fontId="1"/>
  </si>
  <si>
    <t>Poverty</t>
    <phoneticPr fontId="1"/>
  </si>
  <si>
    <t>Headcount</t>
    <phoneticPr fontId="1"/>
  </si>
  <si>
    <t>Percentage of the popuation in households below the national poverty line, INDEC, May 2001</t>
    <phoneticPr fontId="1"/>
  </si>
  <si>
    <t>Percentage of the popuation in households below the national poverty line, INDEC, October 2001</t>
    <phoneticPr fontId="1"/>
  </si>
  <si>
    <t>Per capita residential electricity consumpton billed, in KWh per capita, 1972</t>
  </si>
  <si>
    <t>Per capita residential electricity consumpton billed, in KWh per capita, 1973</t>
  </si>
  <si>
    <t>Per capita residential electricity consumpton billed, in KWh per capita, 1974</t>
  </si>
  <si>
    <t>Gross Provincial Product per capita in 2005 US$, 1982, based on data for share of GDP produced by each province from UN La Plata (1970-1997) or CEPAL (1998-2005; SHAR)</t>
    <phoneticPr fontId="1"/>
  </si>
  <si>
    <t>Percentage of the popuation in households below the national poverty line, first semester 2009</t>
    <phoneticPr fontId="1"/>
  </si>
  <si>
    <t>Per capita residential electricity consumpton billed, in KWh per capita, 1997</t>
  </si>
  <si>
    <t>Per capita residential electricity consumpton billed, in KWh per capita, 1998</t>
  </si>
  <si>
    <t>Per capita residential electricity consumpton billed, in KWh per capita, 1999</t>
  </si>
  <si>
    <t>Per capita residential electricity consumpton billed, in KWh per capita, 2000</t>
  </si>
  <si>
    <t>Per capita residential electricity consumpton billed, in KWh per capita, 2001</t>
  </si>
  <si>
    <t>Per capita residential electricity consumpton billed, in KWh per capita, 2002</t>
  </si>
  <si>
    <t>Per capita residential electricity consumpton billed, in KWh per capita, 2003</t>
  </si>
  <si>
    <t>Per capita residential electricity consumpton billed, in KWh per capita, 2004</t>
  </si>
  <si>
    <t>2001 May</t>
  </si>
  <si>
    <t>2001 Oct</t>
  </si>
  <si>
    <t>2002 May</t>
  </si>
  <si>
    <t>2002 Oct</t>
  </si>
  <si>
    <t>2003 May</t>
  </si>
  <si>
    <t>2003 S1</t>
  </si>
  <si>
    <t>2003 S2</t>
  </si>
  <si>
    <t>2004 S1</t>
  </si>
  <si>
    <t>2004 S2</t>
  </si>
  <si>
    <t>2005 S1</t>
  </si>
  <si>
    <t>2005 S2</t>
  </si>
  <si>
    <t>2006 S1</t>
  </si>
  <si>
    <t>2006 S2</t>
  </si>
  <si>
    <t>2007 S1</t>
  </si>
  <si>
    <t>2007 S2</t>
  </si>
  <si>
    <t>2008 S1</t>
  </si>
  <si>
    <t>2008 S2</t>
  </si>
  <si>
    <t>2009 S1</t>
  </si>
  <si>
    <t>2009 S2</t>
  </si>
  <si>
    <t>POVN2001S1</t>
    <phoneticPr fontId="1" type="noConversion"/>
  </si>
  <si>
    <t>POVN2001S2</t>
    <phoneticPr fontId="1" type="noConversion"/>
  </si>
  <si>
    <t>POVN2002S1</t>
    <phoneticPr fontId="1" type="noConversion"/>
  </si>
  <si>
    <t>POVN2002S2</t>
    <phoneticPr fontId="1" type="noConversion"/>
  </si>
  <si>
    <t>POVN2003S1a</t>
    <phoneticPr fontId="1" type="noConversion"/>
  </si>
  <si>
    <t>POVN2003S1b</t>
    <phoneticPr fontId="1" type="noConversion"/>
  </si>
  <si>
    <t>POVN2003S2</t>
    <phoneticPr fontId="1" type="noConversion"/>
  </si>
  <si>
    <t>POVN2004S1</t>
    <phoneticPr fontId="1" type="noConversion"/>
  </si>
  <si>
    <t>POVN2004S2</t>
    <phoneticPr fontId="1" type="noConversion"/>
  </si>
  <si>
    <t>POVN2005S1</t>
    <phoneticPr fontId="1" type="noConversion"/>
  </si>
  <si>
    <t>POVN2005S2</t>
    <phoneticPr fontId="1" type="noConversion"/>
  </si>
  <si>
    <t>POVN2006S1</t>
    <phoneticPr fontId="1" type="noConversion"/>
  </si>
  <si>
    <t>POVN2006S2</t>
    <phoneticPr fontId="1" type="noConversion"/>
  </si>
  <si>
    <t>POVN2007S1</t>
    <phoneticPr fontId="1" type="noConversion"/>
  </si>
  <si>
    <t>POVN2007S2</t>
    <phoneticPr fontId="1" type="noConversion"/>
  </si>
  <si>
    <t>Per capita residential electricity consumpton billed, in KWh per capita, 1990</t>
  </si>
  <si>
    <t>Gross Provincial Product per capita in 2005 US$, 1998, based on data for share of GDP produced by each province from UN La Plata (1970-1997) or CEPAL (1998-2005; SHAR)</t>
    <phoneticPr fontId="1"/>
  </si>
  <si>
    <t>Gross Provincial Product per capita in 2005 US$, 1999, based on data for share of GDP produced by each province from UN La Plata (1970-1997) or CEPAL (1998-2005; SHAR)</t>
    <phoneticPr fontId="1"/>
  </si>
  <si>
    <t>Gross Provincial Product per capita in 2005 US$, 2000, based on data for share of GDP produced by each province from UN La Plata (1970-1997) or CEPAL (1998-2005; SHAR)</t>
    <phoneticPr fontId="1"/>
  </si>
  <si>
    <t>2005</t>
    <phoneticPr fontId="1"/>
  </si>
  <si>
    <t>2007</t>
    <phoneticPr fontId="1"/>
  </si>
  <si>
    <t>TURN1985</t>
    <phoneticPr fontId="5" type="noConversion"/>
  </si>
  <si>
    <t>TURN1987</t>
    <phoneticPr fontId="5" type="noConversion"/>
  </si>
  <si>
    <t>TURN1989</t>
    <phoneticPr fontId="5" type="noConversion"/>
  </si>
  <si>
    <t>Gross Provincial Product per capita in 2005 US$, 1993, based on data for share of GDP produced by each province from UN La Plata (1970-1997) or CEPAL (1998-2005; SHAR)</t>
    <phoneticPr fontId="1"/>
  </si>
  <si>
    <t>Per capita residential electricity consumpton billed, in KWh per capita, 1988</t>
  </si>
  <si>
    <t>Per capita residential electricity consumpton billed, in KWh per capita, 1989</t>
  </si>
  <si>
    <t>Per capita residential electricity consumpton billed, in KWh per capita, 1996</t>
  </si>
  <si>
    <t>2003</t>
    <phoneticPr fontId="1"/>
  </si>
  <si>
    <t>Employment in extraction of petroleum and natural gas as a percentage of total provincial employment, 2003</t>
    <phoneticPr fontId="1"/>
  </si>
  <si>
    <t>Employment in extraction of petroleum and natural gas as a percentage of total provincial employment, 2009</t>
    <phoneticPr fontId="1"/>
  </si>
  <si>
    <t>Per capita residential electricity consumpton billed, in KWh per capita, 2005</t>
  </si>
  <si>
    <t>Per capita residential electricity consumpton billed, in KWh per capita, 2006</t>
  </si>
  <si>
    <t>Per capita residential electricity consumpton billed, in KWh per capita, 2007</t>
  </si>
  <si>
    <t>Per capita residential electricity consumpton billed, in KWh per capita, 2009</t>
  </si>
  <si>
    <t>Per capita residential electricity consumpton billed, in KWh per capita, 1971</t>
  </si>
  <si>
    <t>Gross Provincial Product per capita in 2005 US$, 2003, based on data for share of GDP produced by each province from UN La Plata (1970-1997) or CEPAL (1998-2005; SHAR)</t>
    <phoneticPr fontId="1"/>
  </si>
  <si>
    <t>Gross Provincial Product per capita in 2005 US$, 1986, based on data for share of GDP produced by each province from UN La Plata (1970-1997) or CEPAL (1998-2005; SHAR)</t>
    <phoneticPr fontId="1"/>
  </si>
  <si>
    <t>Gross Provincial Product per capita in 2005 US$, 1992, based on data for share of GDP produced by each province from UN La Plata (1970-1997) or CEPAL (1998-2005; SHAR)</t>
    <phoneticPr fontId="1"/>
  </si>
  <si>
    <t>Oil/Gas Extraction</t>
    <phoneticPr fontId="1"/>
  </si>
  <si>
    <t>MTESS</t>
    <phoneticPr fontId="1"/>
  </si>
  <si>
    <t>1998</t>
    <phoneticPr fontId="1"/>
  </si>
  <si>
    <t>2003</t>
    <phoneticPr fontId="1"/>
  </si>
  <si>
    <t>2009</t>
    <phoneticPr fontId="1"/>
  </si>
  <si>
    <t>Gross Provincial Product per capita in 2005 US$, 2002, based on data for share of GDP produced by each province from UN La Plata (1970-1997) or CEPAL (1998-2005; SHAR)</t>
    <phoneticPr fontId="1"/>
  </si>
  <si>
    <t>Percentage of national deputy seats held by women, 2009/2011</t>
    <phoneticPr fontId="1"/>
  </si>
  <si>
    <t>DNE 2008</t>
    <phoneticPr fontId="1"/>
  </si>
  <si>
    <t>Percentage of national deputy seats held by women, 1987/89</t>
    <phoneticPr fontId="1"/>
  </si>
  <si>
    <t>Per capita residential electricity consumpton billed, in KWh per capita, 1979</t>
  </si>
  <si>
    <t>Per capita residential electricity consumpton billed, in KWh per capita, 1980</t>
  </si>
  <si>
    <t>Per capita residential electricity consumpton billed, in KWh per capita, 1981</t>
  </si>
  <si>
    <r>
      <t>Caclulated from Argentina. Ministerio de Trabajo, Empleo y Seguridad Social (2010). "Observatorio de Empleo y Dinámica Empresarial</t>
    </r>
    <r>
      <rPr>
        <sz val="9"/>
        <color indexed="21"/>
        <rFont val="Times"/>
        <family val="1"/>
      </rPr>
      <t xml:space="preserve"> </t>
    </r>
    <r>
      <rPr>
        <sz val="9"/>
        <rFont val="Times"/>
        <family val="1"/>
      </rPr>
      <t>Distribución y evolución provincial del empleo registrado y las empresas a nivel sectorial, por rama de actividad y tamaño de firma. Apertura y cierre de empresas por provincia."</t>
    </r>
    <r>
      <rPr>
        <sz val="9"/>
        <color indexed="8"/>
        <rFont val="Times"/>
        <family val="1"/>
      </rPr>
      <t xml:space="preserve"> </t>
    </r>
    <r>
      <rPr>
        <sz val="9"/>
        <rFont val="Times"/>
        <family val="1"/>
      </rPr>
      <t>Accessed July 21, 2010, at www.trabajo.gov.ar/left/estadisticas/descargas/oede/serie_provincial.xls  Data for 2009 through the end of October only.</t>
    </r>
    <phoneticPr fontId="1"/>
  </si>
  <si>
    <t>Gross Provincial Product per capita in 2005 US$, 2001, based on data for share of GDP produced by each province from UN La Plata (1970-1997) or CEPAL (1998-2005; SHAR)</t>
    <phoneticPr fontId="1"/>
  </si>
  <si>
    <t>Gross Provincial Product per capita in 2005 US$, 1987, based on data for share of GDP produced by each province from UN La Plata (1970-1997) or CEPAL (1998-2005; SHAR)</t>
    <phoneticPr fontId="1"/>
  </si>
  <si>
    <t>Gross Provincial Product per capita in 2005 US$, 1994, based on data for share of GDP produced by each province from UN La Plata (1970-1997) or CEPAL (1998-2005; SHAR)</t>
    <phoneticPr fontId="1"/>
  </si>
  <si>
    <t>TURN2003</t>
    <phoneticPr fontId="5" type="noConversion"/>
  </si>
  <si>
    <t>TURN2005</t>
    <phoneticPr fontId="5" type="noConversion"/>
  </si>
  <si>
    <t>TURN2007</t>
    <phoneticPr fontId="5" type="noConversion"/>
  </si>
  <si>
    <t>TURN2001</t>
    <phoneticPr fontId="5" type="noConversion"/>
  </si>
  <si>
    <t>Gross Provincial Product per capita in 2005 US$, 1995, based on data for share of GDP produced by each province from UN La Plata (1970-1997) or CEPAL (1998-2005; SHAR)</t>
    <phoneticPr fontId="1"/>
  </si>
  <si>
    <t>Gross Provincial Product per capita in 2005 US$, 1997, based on data for share of GDP produced by each province from UN La Plata (1970-1997) or CEPAL (1998-2005; SHAR)</t>
    <phoneticPr fontId="1"/>
  </si>
  <si>
    <t>Caminotti, Mariana, and Jennifer Piscopo (2010). "Women in Provincial Legislatures," a dataset for Argentina from 1991 to 2007. Kindly sent by Jennifer Piscopo, Visiting Fellow, Center for US-Mexican Studies, UCSD, as an email attachment on February 10, 2010.</t>
  </si>
  <si>
    <t>Percentage of national deputy seats held by women, 2007/09</t>
    <phoneticPr fontId="1"/>
  </si>
  <si>
    <t>Caminotti 2009</t>
    <phoneticPr fontId="1"/>
  </si>
  <si>
    <t>PROVDEP%F07C</t>
    <phoneticPr fontId="1"/>
  </si>
  <si>
    <t>1985</t>
    <phoneticPr fontId="1"/>
  </si>
  <si>
    <t>BHI2004</t>
    <phoneticPr fontId="1"/>
  </si>
  <si>
    <t>BHI2006</t>
    <phoneticPr fontId="1"/>
  </si>
  <si>
    <t>Per capita residential electricity consumpton billed, in KWh per capita, 2008</t>
  </si>
  <si>
    <r>
      <t>Caclulated from Argentina. Ministerio de Trabajo, Empleo y Seguridad Social (2010). "Observatorio de Empleo y Dinámica Empresarial</t>
    </r>
    <r>
      <rPr>
        <sz val="9"/>
        <color indexed="21"/>
        <rFont val="Times"/>
        <family val="1"/>
      </rPr>
      <t xml:space="preserve"> </t>
    </r>
    <r>
      <rPr>
        <sz val="9"/>
        <rFont val="Times"/>
        <family val="1"/>
      </rPr>
      <t>Distribución y evolución provincial del empleo registrado y las empresas a nivel sectorial, por rama de actividad y tamaño de firma. Apertura y cierre de empresas por provincia."</t>
    </r>
    <r>
      <rPr>
        <sz val="9"/>
        <color indexed="8"/>
        <rFont val="Times"/>
        <family val="1"/>
      </rPr>
      <t xml:space="preserve"> </t>
    </r>
    <r>
      <rPr>
        <sz val="9"/>
        <rFont val="Times"/>
        <family val="1"/>
      </rPr>
      <t>Accessed July 21, 2010, at www.trabajo.gov.ar/left/estadisticas/descargas/oede/serie_provincial.xls</t>
    </r>
    <phoneticPr fontId="1"/>
  </si>
  <si>
    <t>Gross Provincial Product per capita in 2005 US$, 1976, based on data for share of GDP produced by each province from UN La Plata (1970-1997) or CEPAL (1998-2005; SHAR)</t>
    <phoneticPr fontId="1"/>
  </si>
  <si>
    <t>Gross Provincial Product per capita in 2005 US$, 2004, based on data for share of GDP produced by each province from UN La Plata (1970-1997) or CEPAL (1998-2005; SHAR)</t>
    <phoneticPr fontId="1"/>
  </si>
  <si>
    <t>Voter turnout</t>
    <phoneticPr fontId="1"/>
  </si>
  <si>
    <t>Tow 2010</t>
    <phoneticPr fontId="1"/>
  </si>
  <si>
    <t>Gross Provincial Product per capita in 2005 US$, 2005, based on data for share of GDP produced by each province from UN La Plata (1970-1997) or CEPAL (1998-2005; SHAR)</t>
    <phoneticPr fontId="1"/>
  </si>
  <si>
    <t>CEPAL</t>
  </si>
  <si>
    <t>1989</t>
    <phoneticPr fontId="1"/>
  </si>
  <si>
    <t>1991</t>
    <phoneticPr fontId="1"/>
  </si>
  <si>
    <t>Gross Provincial Product per capita in 2005 US$, 1979, based on data for share of GDP produced by each province from UN La Plata (1970-1997) or CEPAL (1998-2005; SHAR)</t>
    <phoneticPr fontId="1"/>
  </si>
  <si>
    <t>Turnout in provincial deputy election (votes divided by eligible voters), 1983</t>
    <phoneticPr fontId="5" type="noConversion"/>
  </si>
  <si>
    <t>TURN1983</t>
    <phoneticPr fontId="5" type="noConversion"/>
  </si>
  <si>
    <t>1985</t>
    <phoneticPr fontId="1"/>
  </si>
  <si>
    <t>1987</t>
    <phoneticPr fontId="1"/>
  </si>
  <si>
    <t>1993</t>
    <phoneticPr fontId="1"/>
  </si>
  <si>
    <t>1997</t>
    <phoneticPr fontId="1"/>
  </si>
  <si>
    <t>1999</t>
    <phoneticPr fontId="1"/>
  </si>
  <si>
    <t>2001</t>
    <phoneticPr fontId="1"/>
  </si>
  <si>
    <t>2003</t>
    <phoneticPr fontId="1"/>
  </si>
  <si>
    <t>TURN1991</t>
    <phoneticPr fontId="5" type="noConversion"/>
  </si>
  <si>
    <t>TURN1993</t>
    <phoneticPr fontId="5" type="noConversion"/>
  </si>
  <si>
    <t>TURN1995</t>
    <phoneticPr fontId="5" type="noConversion"/>
  </si>
  <si>
    <t>TURN1997</t>
    <phoneticPr fontId="5" type="noConversion"/>
  </si>
  <si>
    <t>TURN1999</t>
    <phoneticPr fontId="5" type="noConversion"/>
  </si>
  <si>
    <t>Gross Provincial Product per capita in 2005 US$, 1971, based on data for share of GDP produced by each province from UN La Plata (1970-1997) or CEPAL (1998-2005; SHAR)</t>
    <phoneticPr fontId="1"/>
  </si>
  <si>
    <t>Percentage of national deputy seats held by women, 1989/91</t>
    <phoneticPr fontId="1"/>
  </si>
  <si>
    <t>2000</t>
    <phoneticPr fontId="1"/>
  </si>
  <si>
    <t>Tula, María Inés. "La Ley de Cupo en La Argentina: la participación de las mujeres en los órganos representativos de gobierno." In Storani, María Luisa, et al. Hombres publicos, mujeres publicas. Buenos Aires: Fundación Friedrich Ebert, 2002, p. 85.</t>
    <phoneticPr fontId="1"/>
  </si>
  <si>
    <t>Tula 2002</t>
    <phoneticPr fontId="1"/>
  </si>
  <si>
    <t>Per capita residential electricity consumpton billed, in KWh per capita, 1993</t>
  </si>
  <si>
    <t>Employment in extraction of petroleum and natural gas as a percentage of total provincial employment, 1998</t>
    <phoneticPr fontId="1"/>
  </si>
  <si>
    <t>Gross Provincial Product per capita in 2005 US$, 2002, based on CEPAL data for share of GDP produced by each province (SHAR)</t>
    <phoneticPr fontId="1"/>
  </si>
  <si>
    <t>Gross Provincial Product per capita in 2005 US$, 2003, based on CEPAL data for share of GDP produced by each province (SHAR)</t>
    <phoneticPr fontId="1"/>
  </si>
  <si>
    <t>Gross Provincial Product per capita in 2005 US$, 1989, based on data for share of GDP produced by each province from UN La Plata (1970-1997) or CEPAL (1998-2005; SHAR)</t>
    <phoneticPr fontId="1"/>
  </si>
  <si>
    <t>Gross Provincial Product per capita in 2005 US$, 1994, based on CEPAL data for share of GDP produced by each province (SHAR)</t>
    <phoneticPr fontId="1"/>
  </si>
  <si>
    <t>Gross Provincial Product per capita in 2005 US$, 1997, based on CEPAL data for share of GDP produced by each province (SHAR)</t>
    <phoneticPr fontId="1"/>
  </si>
  <si>
    <t>1987</t>
    <phoneticPr fontId="1"/>
  </si>
  <si>
    <t>Percentage of national deputy seats held by women, 1985/87</t>
    <phoneticPr fontId="1"/>
  </si>
  <si>
    <t>2001</t>
    <phoneticPr fontId="1"/>
  </si>
  <si>
    <t>Gross Provincial Product per capita in 2005 US$, 1990, based on data for share of GDP produced by each province from UN La Plata (1970-1997) or CEPAL (1998-2005; SHAR)</t>
    <phoneticPr fontId="1"/>
  </si>
  <si>
    <t>Gross Provincial Product per capita in 2005 US$, 1983, based on data for share of GDP produced by each province from UN La Plata (1970-1997) or CEPAL (1998-2005; SHAR)</t>
    <phoneticPr fontId="1"/>
  </si>
  <si>
    <t>OILEMP03</t>
    <phoneticPr fontId="1"/>
  </si>
  <si>
    <t>Gross Provincial Product per capita in 2005 US$, 1991, based on data for share of GDP produced by each province from UN La Plata (1970-1997) or CEPAL (1998-2005; SHAR)</t>
    <phoneticPr fontId="1"/>
  </si>
  <si>
    <t>Gross Provincial Product per capita in 2005 US$, 1981, based on data for share of GDP produced by each province from UN La Plata (1970-1997) or CEPAL (1998-2005; SHAR)</t>
    <phoneticPr fontId="1"/>
  </si>
  <si>
    <t>Gross Provincial Product per capita in 2005 US$, 1984, based on data for share of GDP produced by each province from UN La Plata (1970-1997) or CEPAL (1998-2005; SHAR)</t>
    <phoneticPr fontId="1"/>
  </si>
  <si>
    <t>OILEMP98</t>
    <phoneticPr fontId="1"/>
  </si>
  <si>
    <t>OILEMP09</t>
    <phoneticPr fontId="1"/>
  </si>
  <si>
    <t>Interpolated from POPI 1980 and POPI 1991 using the ipolate command in Stata 10</t>
    <phoneticPr fontId="1"/>
  </si>
  <si>
    <t>BINI2004</t>
  </si>
  <si>
    <t>BINI2006</t>
  </si>
  <si>
    <t>Interpolated from POPI 1991 and POPI 2001 using the ipolate command in Stata 10</t>
    <phoneticPr fontId="1"/>
  </si>
  <si>
    <t>Population (estimate), 2010</t>
    <phoneticPr fontId="1"/>
  </si>
  <si>
    <t>Population (interpolated), 2002</t>
    <phoneticPr fontId="1"/>
  </si>
  <si>
    <t>Population (interpolated), 2003</t>
    <phoneticPr fontId="1"/>
  </si>
  <si>
    <t>Gross Provincial Product per capita in 2005 US$, 1978, based on data for share of GDP produced by each province from UN La Plata (1970-1997) or CEPAL (1998-2005; SHAR)</t>
    <phoneticPr fontId="1"/>
  </si>
  <si>
    <t>Gross Provincial Product per capita in 1993 pesos, 2001, estimated on the basis of residential electrical consumption</t>
    <phoneticPr fontId="1"/>
  </si>
  <si>
    <t>Gross Provincial Product per capita in 1993 pesos, 2002, estimated on the basis of residential electrical consumption</t>
    <phoneticPr fontId="1"/>
  </si>
  <si>
    <t>Gross Provincial Product per capita in 2005 US$, 1980, based on data for share of GDP produced by each province from UN La Plata (1970-1997) or CEPAL (1998-2005; SHAR)</t>
    <phoneticPr fontId="1"/>
  </si>
  <si>
    <t>1995</t>
    <phoneticPr fontId="1"/>
  </si>
  <si>
    <t>Gross Provincial Product per capita in 2005 US$, 1970, based on data for share of GDP produced by each province from UN La Plata (1970-1997) or CEPAL (1998-2005; SHAR)</t>
    <phoneticPr fontId="1"/>
  </si>
  <si>
    <t>Gross Provincial Product per capita in 2005 US$, 1972, based on data for share of GDP produced by each province from UN La Plata (1970-1997) or CEPAL (1998-2005; SHAR)</t>
    <phoneticPr fontId="1"/>
  </si>
  <si>
    <t>Gross Provincial Product per capita in 2005 US$, 1973, based on data for share of GDP produced by each province from UN La Plata (1970-1997) or CEPAL (1998-2005; SHAR)</t>
    <phoneticPr fontId="1"/>
  </si>
  <si>
    <t>Gross Provincial Product per capita in 2005 US$, 1996, based on data for share of GDP produced by each province from UN La Plata (1970-1997) or CEPAL (1998-2005; SHAR)</t>
    <phoneticPr fontId="1"/>
  </si>
  <si>
    <t>Gross Provincial Product per capita in 2005 US$, 1975, based on data for share of GDP produced by each province from UN La Plata (1970-1997) or CEPAL (1998-2005; SHAR)</t>
    <phoneticPr fontId="1"/>
  </si>
  <si>
    <t>INDEC, Dirección de Estadísticas Sectoriales en base a información suministrada por el Ministerio de Salud de la Nación, Dirección de Estadísticas e Información de Salud (DEIS). Accessed December 16, 2009, at http://www.indec.gov.ar/nuevaweb/cuadros/7/sesd_04c05.xls</t>
    <phoneticPr fontId="1"/>
  </si>
  <si>
    <t>Proportion of births at home, 1990</t>
    <phoneticPr fontId="1"/>
  </si>
  <si>
    <t>POPI1998</t>
  </si>
  <si>
    <t>POPI1999</t>
  </si>
  <si>
    <t>Gross Provincial Product per capita in 2005 US$, 2005, based on CEPAL data for share of GDP produced by each province (SHAR)</t>
    <phoneticPr fontId="1"/>
  </si>
  <si>
    <t>GPPC1994</t>
  </si>
  <si>
    <t>GPPC2002</t>
  </si>
  <si>
    <t>GPPC2003</t>
  </si>
  <si>
    <t>GPPC2004</t>
  </si>
  <si>
    <t>GPPC2005</t>
  </si>
  <si>
    <t>GPPC1993</t>
  </si>
  <si>
    <t>Gross Provincial Product per capita in 1993 pesos, 2004, estimated on the basis of residential electrical consumption</t>
    <phoneticPr fontId="1"/>
  </si>
  <si>
    <t>Gross Provincial Product per capita in 2005 US$, 1998, based on CEPAL data for share of GDP produced by each province (SHAR)</t>
    <phoneticPr fontId="1"/>
  </si>
  <si>
    <t>Gross Provincial Product per capita in 2005 US$, 1995, based on CEPAL data for share of GDP produced by each province (SHAR)</t>
    <phoneticPr fontId="1"/>
  </si>
  <si>
    <t>Gross Provincial Product per capita in 2005 US$, 1999, based on CEPAL data for share of GDP produced by each province (SHAR)</t>
    <phoneticPr fontId="1"/>
  </si>
  <si>
    <t>Gross Provincial Product per capita in 2005 US$, 2000, based on CEPAL data for share of GDP produced by each province (SHAR)</t>
    <phoneticPr fontId="1"/>
  </si>
  <si>
    <t>POPI2002</t>
    <phoneticPr fontId="1"/>
  </si>
  <si>
    <t>POPI2003</t>
    <phoneticPr fontId="1"/>
  </si>
  <si>
    <t>POPI2004</t>
    <phoneticPr fontId="1"/>
  </si>
  <si>
    <t>Gross Provincial Product per capita in 2005 US$, 2001, based on CEPAL data for share of GDP produced by each province (SHAR)</t>
    <phoneticPr fontId="1"/>
  </si>
  <si>
    <t>2009</t>
    <phoneticPr fontId="1"/>
  </si>
  <si>
    <t>2006</t>
    <phoneticPr fontId="1"/>
  </si>
  <si>
    <t>POPI1971</t>
  </si>
  <si>
    <t>POPI1972</t>
  </si>
  <si>
    <t>POPI1973</t>
  </si>
  <si>
    <t>Gross Provincial Product per capita in 2005 US$, 1985, based on data for share of GDP produced by each province from UN La Plata (1970-1997) or CEPAL (1998-2005; SHAR)</t>
    <phoneticPr fontId="1"/>
  </si>
  <si>
    <t>POPI1989</t>
  </si>
  <si>
    <t>POPI1990</t>
  </si>
  <si>
    <t>POPI1992</t>
  </si>
  <si>
    <t>POPI1993</t>
  </si>
  <si>
    <t>POPI1994</t>
  </si>
  <si>
    <t>POPI1995</t>
  </si>
  <si>
    <t>POPI1996</t>
  </si>
  <si>
    <t>POPI1997</t>
  </si>
  <si>
    <t>POPI2005</t>
    <phoneticPr fontId="1"/>
  </si>
  <si>
    <t>POPI2006</t>
    <phoneticPr fontId="1"/>
  </si>
  <si>
    <t>Interpolated from POPI 1970 and POPI 1980 using the ipolate command in Stata 10</t>
    <phoneticPr fontId="1"/>
  </si>
  <si>
    <t>Porto, Alberto, Director (2004). Disparidades regionales y federalismo fiscal. La Plata, Argentina: Editorial de la Universidad de La Plata, p. 24. Accessed December 21, 2009, at http://www.depeco.econo.unlp.edu.ar/federalismo/default.htm</t>
    <phoneticPr fontId="1"/>
  </si>
  <si>
    <t>GPPM1980</t>
    <phoneticPr fontId="1"/>
  </si>
  <si>
    <t>GPPM1981</t>
    <phoneticPr fontId="1"/>
  </si>
  <si>
    <t>Population (interpolated), 2004</t>
    <phoneticPr fontId="1"/>
  </si>
  <si>
    <t>Population (interpolated), 2005</t>
    <phoneticPr fontId="1"/>
  </si>
  <si>
    <t>Population (interpolated), 2009</t>
    <phoneticPr fontId="1"/>
  </si>
  <si>
    <t>1971</t>
    <phoneticPr fontId="1"/>
  </si>
  <si>
    <t>1972</t>
    <phoneticPr fontId="1"/>
  </si>
  <si>
    <t>1973</t>
    <phoneticPr fontId="1"/>
  </si>
  <si>
    <t>1974</t>
    <phoneticPr fontId="1"/>
  </si>
  <si>
    <t>1975</t>
    <phoneticPr fontId="1"/>
  </si>
  <si>
    <t>1976</t>
    <phoneticPr fontId="1"/>
  </si>
  <si>
    <t>1977</t>
    <phoneticPr fontId="1"/>
  </si>
  <si>
    <t>1978</t>
    <phoneticPr fontId="1"/>
  </si>
  <si>
    <t>1979</t>
    <phoneticPr fontId="1"/>
  </si>
  <si>
    <t>1990</t>
    <phoneticPr fontId="1"/>
  </si>
  <si>
    <t>2002</t>
    <phoneticPr fontId="1"/>
  </si>
  <si>
    <t>GPPC1998</t>
  </si>
  <si>
    <t>GPPC1999</t>
  </si>
  <si>
    <t>GPPC2000</t>
  </si>
  <si>
    <t>GPPC2001</t>
  </si>
  <si>
    <t>Gross Provincial Product per capita in 1986 pesos, 1975</t>
  </si>
  <si>
    <t>Gross Provincial Product per capita in 1986 pesos, 1999</t>
  </si>
  <si>
    <t>Gross Provincial Product per capita in 1993 pesos, 1998, estimated on the basis of residential electrical consumption</t>
    <phoneticPr fontId="1"/>
  </si>
  <si>
    <t>GPPC1995</t>
  </si>
  <si>
    <t>GPPC1996</t>
  </si>
  <si>
    <t>GPPC1997</t>
  </si>
  <si>
    <t>Gross Provincial Product per capita in 1993 pesos, 2003, estimated on the basis of residential electrical consumption</t>
    <phoneticPr fontId="1"/>
  </si>
  <si>
    <t>Gross Provincial Product per capita in 2005 US$, 1974, based on data for share of GDP produced by each province from UN La Plata (1970-1997) or CEPAL (1998-2005; SHAR)</t>
    <phoneticPr fontId="1"/>
  </si>
  <si>
    <t>1970</t>
    <phoneticPr fontId="1"/>
  </si>
  <si>
    <t>1980</t>
    <phoneticPr fontId="1"/>
  </si>
  <si>
    <t>1991</t>
    <phoneticPr fontId="1"/>
  </si>
  <si>
    <t>2001</t>
    <phoneticPr fontId="1"/>
  </si>
  <si>
    <t>2010</t>
    <phoneticPr fontId="1"/>
  </si>
  <si>
    <t>POPI1970</t>
  </si>
  <si>
    <t>POPI1980</t>
  </si>
  <si>
    <t>POPI1991</t>
  </si>
  <si>
    <t>POPI2001</t>
  </si>
  <si>
    <t>POPI2010</t>
    <phoneticPr fontId="1"/>
  </si>
  <si>
    <t>Gross Provincial Product per capita in 2005 US$, 1996, based on CEPAL data for share of GDP produced by each province (SHAR)</t>
    <phoneticPr fontId="1"/>
  </si>
  <si>
    <t>Gross Provincial Product per capita in 1986 pesos, 1998</t>
  </si>
  <si>
    <t>Gross Provincial Product per capita in 1993 pesos, 2000, estimated on the basis of residential electrical consumption</t>
    <phoneticPr fontId="1"/>
  </si>
  <si>
    <t>POPI1986</t>
  </si>
  <si>
    <t>POPI1987</t>
  </si>
  <si>
    <t>POPI1988</t>
  </si>
  <si>
    <t>Proportion of births not attended by medical personnel, 2000</t>
  </si>
  <si>
    <t>Gross Provincial Product per capita in 1986 pesos, 1967</t>
  </si>
  <si>
    <t>GPPM1976</t>
    <phoneticPr fontId="1"/>
  </si>
  <si>
    <t>POPI2000</t>
  </si>
  <si>
    <t>Gross Provincial Product per capita in 1993 pesos, 1989, estimated on the basis of residential electrical consumption</t>
    <phoneticPr fontId="1"/>
  </si>
  <si>
    <t>GPPST70</t>
    <phoneticPr fontId="1"/>
  </si>
  <si>
    <t>GPPP1995</t>
  </si>
  <si>
    <t>GPPP1996</t>
  </si>
  <si>
    <t>GPPP1997</t>
  </si>
  <si>
    <t>GPPP1998</t>
  </si>
  <si>
    <t>MMR86</t>
    <phoneticPr fontId="1"/>
  </si>
  <si>
    <t>MMR87</t>
    <phoneticPr fontId="1"/>
  </si>
  <si>
    <t>BITI2004</t>
  </si>
  <si>
    <t>BITI2006</t>
  </si>
  <si>
    <t>BITI1980</t>
  </si>
  <si>
    <t xml:space="preserve"> </t>
  </si>
  <si>
    <t/>
  </si>
  <si>
    <t>Proportion of births at home, 2006</t>
    <phoneticPr fontId="1"/>
  </si>
  <si>
    <t>% births not attend</t>
    <phoneticPr fontId="5" type="noConversion"/>
  </si>
  <si>
    <t>BIHI1990</t>
    <phoneticPr fontId="1"/>
  </si>
  <si>
    <t>Absolute number of live births, 2004</t>
    <phoneticPr fontId="1"/>
  </si>
  <si>
    <t>Absolute number of live births, 2006</t>
    <phoneticPr fontId="1"/>
  </si>
  <si>
    <t>BIHI1980</t>
    <phoneticPr fontId="1"/>
  </si>
  <si>
    <t>BITI1990</t>
  </si>
  <si>
    <t>BITI2000</t>
  </si>
  <si>
    <t>Gross Provincial Product per capita in 2005 US$, 1993, based on CEPAL data for share of GDP produced by each province (SHAR)</t>
    <phoneticPr fontId="1"/>
  </si>
  <si>
    <t>BINI1990</t>
  </si>
  <si>
    <t>BINI1980</t>
  </si>
  <si>
    <t>Proportion of births at home, 2000</t>
    <phoneticPr fontId="1"/>
  </si>
  <si>
    <t>POPI1974</t>
  </si>
  <si>
    <t>POPI1975</t>
  </si>
  <si>
    <t>POPI1979</t>
  </si>
  <si>
    <t>POPI1981</t>
  </si>
  <si>
    <t>POPI1982</t>
  </si>
  <si>
    <t>POPI1983</t>
  </si>
  <si>
    <t>POPI1984</t>
  </si>
  <si>
    <t>POPI1985</t>
  </si>
  <si>
    <t>Proportion of births not attended by medical personnel, 1990</t>
  </si>
  <si>
    <t>POPI2007</t>
    <phoneticPr fontId="1"/>
  </si>
  <si>
    <t>POPI2008</t>
    <phoneticPr fontId="1"/>
  </si>
  <si>
    <t>POPI2009</t>
    <phoneticPr fontId="1"/>
  </si>
  <si>
    <t>Absolute number of live births, 1990</t>
    <phoneticPr fontId="1"/>
  </si>
  <si>
    <t>Absolute number of live births, 2000</t>
    <phoneticPr fontId="1"/>
  </si>
  <si>
    <t>Gross Provincial Product per capita in 2005 US$, 1977, based on data for share of GDP produced by each province from UN La Plata (1970-1997) or CEPAL (1998-2005; SHAR)</t>
    <phoneticPr fontId="1"/>
  </si>
  <si>
    <t>Gross Provincial Product per capita in 1993 pesos, 1986, estimated on the basis of residential electrical consumption</t>
    <phoneticPr fontId="1"/>
  </si>
  <si>
    <t>BINI2000</t>
  </si>
  <si>
    <t>Interpolated from POPI 2001 and POPI 2010 using the ipolate command in Stata 10</t>
    <phoneticPr fontId="1"/>
  </si>
  <si>
    <t>Gross Provincial Product per capita in 1986 pesos, 1990</t>
  </si>
  <si>
    <t>Gross Provincial Product per capita in 1986 pesos, 1993</t>
  </si>
  <si>
    <t>Gross Provincial Product per capita in 1986 pesos, 1994</t>
  </si>
  <si>
    <t>Argentina. Ministerio de Salud. Dirección Nacional Materno Infantil. Programa Materno Infantil. Tasa de mortalidad materna por jurisdicción, años 1980 - 2002, República Argentina. Accessed May 17, 2004, at http://www.msal.gov.ar/htm/site/promin/UCMISALUD/estadistica/estadistica.htm</t>
  </si>
  <si>
    <t>GPPM1996</t>
    <phoneticPr fontId="1"/>
  </si>
  <si>
    <t>GPPM1997</t>
    <phoneticPr fontId="1"/>
  </si>
  <si>
    <t>GPPM1998</t>
    <phoneticPr fontId="1"/>
  </si>
  <si>
    <t>GPPM1999</t>
    <phoneticPr fontId="1"/>
  </si>
  <si>
    <t>MMR83</t>
    <phoneticPr fontId="1"/>
  </si>
  <si>
    <t>Public spending</t>
    <phoneticPr fontId="1"/>
  </si>
  <si>
    <t>per capita</t>
    <phoneticPr fontId="1"/>
  </si>
  <si>
    <t>Accessed June 24, 2010, at http://www.indec.mecon.ar/nuevaweb/cuadros/7/sesd_01a01.xls</t>
    <phoneticPr fontId="1"/>
  </si>
  <si>
    <t>Gross Provincial Product per capita in 1986 pesos, 1974</t>
  </si>
  <si>
    <t>IMR87</t>
    <phoneticPr fontId="1"/>
  </si>
  <si>
    <t>IMR88</t>
    <phoneticPr fontId="1"/>
  </si>
  <si>
    <t>Gross Provincial Product per capita in 1986 pesos, 2000</t>
  </si>
  <si>
    <t>Gross Provincial Product per capita in 2005 US$, 2004, based on CEPAL data for share of GDP produced by each province (SHAR)</t>
    <phoneticPr fontId="1"/>
  </si>
  <si>
    <t>Gross Provincial Product per capita in 1993 pesos, 1984, estimated on the basis of residential electrical consumption</t>
    <phoneticPr fontId="1"/>
  </si>
  <si>
    <t>INDEC, Dirección Nacional de Estadísticas Sociales y de Población, Dirección de Estadísticas Sectoriales en base a información suministrada por el Ministerio de Salud y Ambiente de la Nación, Dirección de Estadísticas e Información de Salud (DEIS). Accessed December 16, 2009, at http://www.estadistica.chubut.gov.ar/Indic-SocioDemograficos/salud/sesd_04c05.xls</t>
  </si>
  <si>
    <t>Gross Provincial Product per capita in 1993 pesos, 1999, estimated on the basis of residential electrical consumption</t>
    <phoneticPr fontId="1"/>
  </si>
  <si>
    <t>Proportion of births not attended by medical personnel, 2004</t>
  </si>
  <si>
    <t>Proportion of births not attended by medical personnel, 2006</t>
  </si>
  <si>
    <t>POPI1976</t>
  </si>
  <si>
    <t>POPI1977</t>
  </si>
  <si>
    <t>Gross Provincial Product per capita in 1986 pesos, 1987</t>
  </si>
  <si>
    <t>Gross Provincial Product per capita in 1986 pesos, 1988</t>
  </si>
  <si>
    <t>Arg HDR99</t>
  </si>
  <si>
    <t>Gross Provincial Product per capita in 1986 pesos, 1962</t>
  </si>
  <si>
    <t>Maternal</t>
    <phoneticPr fontId="1"/>
  </si>
  <si>
    <t>Life expectancy</t>
    <phoneticPr fontId="1"/>
  </si>
  <si>
    <t>Gross Provincial Product per capita in 1986 pesos, 1966</t>
  </si>
  <si>
    <t>Gross Provincial Product per capita in 1993 pesos, 1978, estimated on the basis of residential electrical consumption</t>
    <phoneticPr fontId="1"/>
  </si>
  <si>
    <t>Gross Provincial Product per capita in 1993 pesos, 1979, estimated on the basis of residential electrical consumption</t>
    <phoneticPr fontId="1"/>
  </si>
  <si>
    <t>GPPM1995</t>
    <phoneticPr fontId="1"/>
  </si>
  <si>
    <t>Gross Provincial Product per capita in 1993 pesos, 1982, estimated on the basis of residential electrical consumption</t>
    <phoneticPr fontId="1"/>
  </si>
  <si>
    <t>GPPM1977</t>
    <phoneticPr fontId="1"/>
  </si>
  <si>
    <t>GPPM1978</t>
    <phoneticPr fontId="1"/>
  </si>
  <si>
    <t>Population</t>
    <phoneticPr fontId="1"/>
  </si>
  <si>
    <t>Live births</t>
    <phoneticPr fontId="1"/>
  </si>
  <si>
    <t>2003</t>
    <phoneticPr fontId="1"/>
  </si>
  <si>
    <t>2004</t>
    <phoneticPr fontId="1"/>
  </si>
  <si>
    <t>2007</t>
    <phoneticPr fontId="1"/>
  </si>
  <si>
    <t>2008</t>
    <phoneticPr fontId="1"/>
  </si>
  <si>
    <t>GPPM1984</t>
    <phoneticPr fontId="1"/>
  </si>
  <si>
    <t>Population (interpolated), 2007</t>
    <phoneticPr fontId="1"/>
  </si>
  <si>
    <t>BIHI2000</t>
    <phoneticPr fontId="1"/>
  </si>
  <si>
    <t>Gross Provincial Product per capita in 1993 pesos, 1977, estimated on the basis of residential electrical consumption</t>
    <phoneticPr fontId="1"/>
  </si>
  <si>
    <t>Gross Provincial Product per capita in 1993 pesos, 1990, estimated on the basis of residential electrical consumption</t>
    <phoneticPr fontId="1"/>
  </si>
  <si>
    <t>Mirabella/Nanni</t>
    <phoneticPr fontId="1"/>
  </si>
  <si>
    <t>Gross Provincial Product per capita in 1993 pesos, 1988, estimated on the basis of residential electrical consumption</t>
    <phoneticPr fontId="1"/>
  </si>
  <si>
    <t>% births at home</t>
    <phoneticPr fontId="5" type="noConversion"/>
  </si>
  <si>
    <t>INDEC 2009</t>
    <phoneticPr fontId="1"/>
  </si>
  <si>
    <t>Calculated from data assocated with Porto, Alberto, Director (2004). Disparidades regionales y federalismo fiscal. La Plata, Argentina: Editorial de la Universidad de La Plata. Accessed December 21, 2009, at http://www.depeco.econo.unlp.edu.ar/federalismo/default.html</t>
    <phoneticPr fontId="1"/>
  </si>
  <si>
    <t>Prov Share GDP</t>
    <phoneticPr fontId="1"/>
  </si>
  <si>
    <t>Gross Provincial Product per capita in 1986 pesos, 1989</t>
  </si>
  <si>
    <t>Gross Provincial Product per capita in 1993 pesos, 1985, estimated on the basis of residential electrical consumption</t>
    <phoneticPr fontId="1"/>
  </si>
  <si>
    <t>Postneonatal</t>
    <phoneticPr fontId="1"/>
  </si>
  <si>
    <t>MMR89</t>
    <phoneticPr fontId="1"/>
  </si>
  <si>
    <t>MMR90</t>
    <phoneticPr fontId="1"/>
  </si>
  <si>
    <t>Proportion of births at home, 2004</t>
    <phoneticPr fontId="1"/>
  </si>
  <si>
    <t>Gross Provincial Product per capita in 1986 pesos, 1976</t>
  </si>
  <si>
    <t>POPI1978</t>
  </si>
  <si>
    <t>Proportion of births not attended by medical personnel, 1980</t>
  </si>
  <si>
    <t>Absolute number of live births, 1980</t>
    <phoneticPr fontId="1"/>
  </si>
  <si>
    <t>MMR88</t>
    <phoneticPr fontId="1"/>
  </si>
  <si>
    <t>Gross Provincial Product per capita in 1993 pesos, 1994, estimated on the basis of residential electrical consumption</t>
    <phoneticPr fontId="1"/>
  </si>
  <si>
    <t>Brissón</t>
    <phoneticPr fontId="1"/>
  </si>
  <si>
    <t>Gross Provincial Product per capita in 1993 pesos, 1993, estimated on the basis of residential electrical consumption</t>
    <phoneticPr fontId="1"/>
  </si>
  <si>
    <t>Gross Provincial Product per capita in 1993 pesos, 1996, estimated on the basis of residential electrical consumption</t>
    <phoneticPr fontId="1"/>
  </si>
  <si>
    <t>Gross Provincial Product per capita in 1993 pesos, 1997, estimated on the basis of residential electrical consumption</t>
    <phoneticPr fontId="1"/>
  </si>
  <si>
    <t>Gross Provincial Product per capita in 1993 pesos, 1983, estimated on the basis of residential electrical consumption</t>
    <phoneticPr fontId="1"/>
  </si>
  <si>
    <t>Inequality</t>
    <phoneticPr fontId="1"/>
  </si>
  <si>
    <t>Rich to poor 10%</t>
    <phoneticPr fontId="1"/>
  </si>
  <si>
    <t>MSPyMA</t>
    <phoneticPr fontId="1"/>
  </si>
  <si>
    <t>Gross Provincial Product per capita in 1993 pesos, 1992, estimated on the basis of residential electrical consumption</t>
    <phoneticPr fontId="1"/>
  </si>
  <si>
    <t>Arg HDR99-appx</t>
  </si>
  <si>
    <t>Arg HDR99-text</t>
  </si>
  <si>
    <t>Informe Argentino sobre Desarrollo Humano 1999. V.1. Accessed Dec 1, 2000, at http://www.undp.org.ar/idh/99_pdf/idh.pdf</t>
  </si>
  <si>
    <t>INEQ96</t>
  </si>
  <si>
    <t>Proportion of births at home, 1980</t>
    <phoneticPr fontId="1"/>
  </si>
  <si>
    <t>Gross Provincial Product per capita in 1986 pesos, 1996</t>
  </si>
  <si>
    <t>Subcategory Broad</t>
    <phoneticPr fontId="1"/>
  </si>
  <si>
    <t>Population (census), 2001</t>
  </si>
  <si>
    <t>POPC1914</t>
  </si>
  <si>
    <t>POPC1947</t>
  </si>
  <si>
    <t>Gross Provincial Product per capita in 1986 pesos, 1963</t>
  </si>
  <si>
    <t>IMR89</t>
    <phoneticPr fontId="1"/>
  </si>
  <si>
    <t>Gross Provincial Product per capita in 1993 pesos, 1991, estimated on the basis of residential electrical consumption</t>
    <phoneticPr fontId="1"/>
  </si>
  <si>
    <t>Gross Provincial Product per capita in 1986 pesos, 1984</t>
  </si>
  <si>
    <t>Gross Provincial Product per capita in 1993 pesos, 1980, estimated on the basis of residential electrical consumption</t>
    <phoneticPr fontId="1"/>
  </si>
  <si>
    <t>Gross Provincial Product per capita in 1986 pesos, 2001</t>
    <phoneticPr fontId="1"/>
  </si>
  <si>
    <t>CEPAL</t>
    <phoneticPr fontId="1"/>
  </si>
  <si>
    <t>Public revenue</t>
    <phoneticPr fontId="1"/>
  </si>
  <si>
    <t>mis</t>
  </si>
  <si>
    <t>GPPM1979</t>
    <phoneticPr fontId="1"/>
  </si>
  <si>
    <t>GPPM1982</t>
    <phoneticPr fontId="1"/>
  </si>
  <si>
    <t>GPPM1983</t>
    <phoneticPr fontId="1"/>
  </si>
  <si>
    <t>Population (interpolated), 2008</t>
    <phoneticPr fontId="1"/>
  </si>
  <si>
    <t>Gross Provincial Product per capita in 1986 pesos, 1986</t>
  </si>
  <si>
    <t>Avila</t>
    <phoneticPr fontId="1"/>
  </si>
  <si>
    <t>% GPP</t>
    <phoneticPr fontId="1"/>
  </si>
  <si>
    <t>Population (interpolated), 2006</t>
    <phoneticPr fontId="1"/>
  </si>
  <si>
    <t>Chubut</t>
  </si>
  <si>
    <t>chu</t>
  </si>
  <si>
    <t>PA</t>
  </si>
  <si>
    <t>Córdoba</t>
  </si>
  <si>
    <t>cba</t>
  </si>
  <si>
    <t>Gross Provincial Product per capita in 1986 pesos, 1968</t>
  </si>
  <si>
    <t>Gross Provincial Product per capita in 1986 pesos, 1969</t>
  </si>
  <si>
    <t>Gross Provincial Product per capita in 1986 pesos, 1971</t>
  </si>
  <si>
    <t>Gross Provincial Product per capita in 1986 pesos, 1972</t>
  </si>
  <si>
    <t>Gross Provincial Product per capita in 1986 pesos, 1973</t>
  </si>
  <si>
    <t>MMR01</t>
    <phoneticPr fontId="1"/>
  </si>
  <si>
    <t>Neonatal</t>
    <phoneticPr fontId="1"/>
  </si>
  <si>
    <t>Porto ms.</t>
    <phoneticPr fontId="1"/>
  </si>
  <si>
    <t>Gross provincial product per capita, 1970, in 1996 pesos (Saiegh and Tommasi)</t>
    <phoneticPr fontId="1"/>
  </si>
  <si>
    <t>MMR02</t>
    <phoneticPr fontId="1"/>
  </si>
  <si>
    <t>MMR93</t>
    <phoneticPr fontId="1"/>
  </si>
  <si>
    <t>Both sexes</t>
    <phoneticPr fontId="1"/>
  </si>
  <si>
    <t>UN Arg</t>
    <phoneticPr fontId="1"/>
  </si>
  <si>
    <t>Gross Provincial Product per capita in 1986 pesos, 1977</t>
  </si>
  <si>
    <t>Base: resid electr</t>
    <phoneticPr fontId="1"/>
  </si>
  <si>
    <t>GPPP1967</t>
  </si>
  <si>
    <t>Date</t>
    <phoneticPr fontId="1"/>
  </si>
  <si>
    <t>GPPP1978</t>
  </si>
  <si>
    <t>GPPP1979</t>
  </si>
  <si>
    <t>GPPP1980</t>
  </si>
  <si>
    <t>GPPP1981</t>
  </si>
  <si>
    <t>GPPP1982</t>
  </si>
  <si>
    <t>MMR94</t>
    <phoneticPr fontId="1"/>
  </si>
  <si>
    <t>MMR00</t>
    <phoneticPr fontId="1"/>
  </si>
  <si>
    <t xml:space="preserve">29.392 </t>
  </si>
  <si>
    <t>Income ratio of richest to poorest 10 percent (presumably for metro areas only), 1996</t>
  </si>
  <si>
    <t>Saiegh, Sebastián M., and Mariano Tommasi (1999). "Why is Argentina's Fiscal Federalism so Inefficient? Entering the Labyrinth." Table 5. Accessed 28 May 2001 at http://www.isr.umich.edu/ cps/pewpa/archive/archive_99/19990003.pdf</t>
  </si>
  <si>
    <t>Population (census), 1914</t>
  </si>
  <si>
    <t>Prov</t>
    <phoneticPr fontId="1"/>
  </si>
  <si>
    <t>IMR80</t>
    <phoneticPr fontId="1"/>
  </si>
  <si>
    <t>IMR81</t>
    <phoneticPr fontId="1"/>
  </si>
  <si>
    <t>IMR82</t>
    <phoneticPr fontId="1"/>
  </si>
  <si>
    <t>IMR83</t>
    <phoneticPr fontId="1"/>
  </si>
  <si>
    <t>IMR84</t>
    <phoneticPr fontId="1"/>
  </si>
  <si>
    <t>IMR85</t>
    <phoneticPr fontId="1"/>
  </si>
  <si>
    <t>IMR86</t>
    <phoneticPr fontId="1"/>
  </si>
  <si>
    <t>GPPP1984</t>
  </si>
  <si>
    <t>GPPP1985</t>
  </si>
  <si>
    <t>GPPP1986</t>
  </si>
  <si>
    <t>GPPP1987</t>
  </si>
  <si>
    <t>MMR91</t>
    <phoneticPr fontId="1"/>
  </si>
  <si>
    <t>GPPP1992</t>
  </si>
  <si>
    <t>GPPP1993</t>
  </si>
  <si>
    <t>GPPP1994</t>
  </si>
  <si>
    <t>Gross Provincial Product per capita in 1993 pesos, 1995, estimated on the basis of residential electrical consumption</t>
    <phoneticPr fontId="1"/>
  </si>
  <si>
    <t>Gross Provincial Product per capita in 1993 pesos, 1976, estimated on the basis of residential electrical consumption</t>
    <phoneticPr fontId="1"/>
  </si>
  <si>
    <t>Output</t>
    <phoneticPr fontId="1"/>
  </si>
  <si>
    <t>Gross Provincial Product per capita in 1986 pesos, 1981</t>
  </si>
  <si>
    <t>Gross Provincial Product per capita in 1986 pesos, 1982</t>
  </si>
  <si>
    <t>Gross Provincial Product per capita in 1986 pesos, 1983</t>
  </si>
  <si>
    <t>Porto Data</t>
    <phoneticPr fontId="1"/>
  </si>
  <si>
    <t>GPPM1985</t>
    <phoneticPr fontId="1"/>
  </si>
  <si>
    <t>GPPM1986</t>
    <phoneticPr fontId="1"/>
  </si>
  <si>
    <t>GPPM1987</t>
    <phoneticPr fontId="1"/>
  </si>
  <si>
    <t>IMR02</t>
    <phoneticPr fontId="1"/>
  </si>
  <si>
    <t>IMR03</t>
    <phoneticPr fontId="1"/>
  </si>
  <si>
    <t>Gross Provincial Product per capita in 1986 pesos, 1997</t>
  </si>
  <si>
    <t>Population (census), 1980</t>
  </si>
  <si>
    <t>Gross Provincial Product per capita in 1986 pesos, 1985</t>
  </si>
  <si>
    <t>IMR96</t>
    <phoneticPr fontId="1"/>
  </si>
  <si>
    <t>IMR97</t>
    <phoneticPr fontId="1"/>
  </si>
  <si>
    <t>IMR98</t>
    <phoneticPr fontId="1"/>
  </si>
  <si>
    <t>IMR99</t>
    <phoneticPr fontId="1"/>
  </si>
  <si>
    <t>IMR00</t>
    <phoneticPr fontId="1"/>
  </si>
  <si>
    <t>IMR01</t>
    <phoneticPr fontId="1"/>
  </si>
  <si>
    <t>UNDP - Argentina (1999). Informe Argentino sobre Desarrollo Humano 1999. T. 1. Buenos Aires: United Nations Development Programme, p. 54 Accessed 1 December 2000 at http://www.undp.org.ar/idh/99-pdf/idh.pdf.</t>
  </si>
  <si>
    <t>Population</t>
    <phoneticPr fontId="1"/>
  </si>
  <si>
    <t>Mortality</t>
  </si>
  <si>
    <t>Infant</t>
  </si>
  <si>
    <t>Both sexes</t>
  </si>
  <si>
    <t>Category</t>
    <phoneticPr fontId="1"/>
  </si>
  <si>
    <t>Data assocated with Porto, Alberto, Director (2004). Disparidades regionales y federalismo fiscal. La Plata, Argentina: Editorial de la Universidad de La Plata. Accessed December 21, 2009, at http://www.depeco.econo.unlp.edu.ar/federalismo/default.html</t>
  </si>
  <si>
    <t>Argentina. MSPyMA [Ministerio de Salud Pública y Medio Ambiente] (1983). Estadísticas vitales y de salud. Serie Histórica, Estadísticas Demográficas, Años 1944-1970. Serie 5, No. 22. Buenos Aires: Ministerio de Salud Pública y Medio Ambiente, p. 93</t>
  </si>
  <si>
    <t>Gross provincial product per capita, 1996, at PPP (UNDP)</t>
  </si>
  <si>
    <t>POPP1961</t>
    <phoneticPr fontId="1"/>
  </si>
  <si>
    <t>POPP1962</t>
    <phoneticPr fontId="1"/>
  </si>
  <si>
    <t>Neuquén</t>
  </si>
  <si>
    <t>neu</t>
  </si>
  <si>
    <t>Río Negro</t>
  </si>
  <si>
    <t>GPPST80</t>
    <phoneticPr fontId="1"/>
  </si>
  <si>
    <t>GPPG70</t>
    <phoneticPr fontId="1"/>
  </si>
  <si>
    <t>GPPG79</t>
    <phoneticPr fontId="1"/>
  </si>
  <si>
    <t>GPPG95</t>
    <phoneticPr fontId="1"/>
  </si>
  <si>
    <t>GPPA98</t>
    <phoneticPr fontId="1"/>
  </si>
  <si>
    <t>Corrientes</t>
  </si>
  <si>
    <t>crr</t>
  </si>
  <si>
    <t>Entre Ríos</t>
  </si>
  <si>
    <t>ent</t>
  </si>
  <si>
    <t>Formosa</t>
  </si>
  <si>
    <t>for</t>
  </si>
  <si>
    <t>Jujuy</t>
  </si>
  <si>
    <t>Gross Provincial Product per capita in 1993 pesos, 1981, estimated on the basis of residential electrical consumption</t>
    <phoneticPr fontId="1"/>
  </si>
  <si>
    <t>Gross Provincial Product per capita in 1986 pesos, 1965</t>
  </si>
  <si>
    <t>Brissón, María Eugenia et al. (2001), "Políticas Sanitarias, situación de salud en las Provincias Argentinas y su relación con la equidad." Buenos Aires: Organización Panamericana de Salud / Fundación ISALUD, p. 24. Orig. data from INDEC.</t>
  </si>
  <si>
    <t>REV98</t>
  </si>
  <si>
    <t>REVGDP98</t>
  </si>
  <si>
    <t>cha</t>
  </si>
  <si>
    <t>NE</t>
  </si>
  <si>
    <t>GPPP1972</t>
  </si>
  <si>
    <t>GPPP1973</t>
  </si>
  <si>
    <t>GPPP1974</t>
  </si>
  <si>
    <t>GPPP1975</t>
  </si>
  <si>
    <t>GPPP1976</t>
  </si>
  <si>
    <t>GPPP1977</t>
  </si>
  <si>
    <t>GPP per capita</t>
    <phoneticPr fontId="1"/>
  </si>
  <si>
    <t>Porto</t>
    <phoneticPr fontId="1"/>
  </si>
  <si>
    <t>GPPST59</t>
    <phoneticPr fontId="1"/>
  </si>
  <si>
    <t>GPPP1983</t>
  </si>
  <si>
    <t>GPPP1965</t>
  </si>
  <si>
    <t>GPPP1966</t>
  </si>
  <si>
    <t>Garrido et al.</t>
    <phoneticPr fontId="1"/>
  </si>
  <si>
    <t>GPPP1988</t>
  </si>
  <si>
    <t>GPPP1989</t>
  </si>
  <si>
    <t>GPPP1990</t>
  </si>
  <si>
    <t>GPPP1991</t>
  </si>
  <si>
    <t>slu</t>
  </si>
  <si>
    <t>Santa Cruz</t>
  </si>
  <si>
    <t>scr</t>
  </si>
  <si>
    <t>GPPP2001</t>
  </si>
  <si>
    <t>cat</t>
  </si>
  <si>
    <t>NW</t>
  </si>
  <si>
    <t>Chaco</t>
  </si>
  <si>
    <t>GPPP1999</t>
  </si>
  <si>
    <t>Capital Federal</t>
  </si>
  <si>
    <t>cap</t>
  </si>
  <si>
    <t>Catamarca</t>
  </si>
  <si>
    <t>MMR95</t>
    <phoneticPr fontId="1"/>
  </si>
  <si>
    <t>MMR99</t>
    <phoneticPr fontId="1"/>
  </si>
  <si>
    <t>Gross Provincial Product per capita in 1986 pesos, 1992</t>
  </si>
  <si>
    <t>Garrido, Nicolás, Adriana Marina, and Daniel Sotelsek (2000). "Dinámica de la distribución del producto a través de las provincias Argentinas (1970-1995)," p. 7. Accessed May 28, 2001, at www.aaep.org.ar/espa/anales/pdf_00/garrido_marina_sotelsek.pdf</t>
  </si>
  <si>
    <t>Population (census), 1895</t>
  </si>
  <si>
    <t>Gross provincial product per capita, 1970, in constant 1996 pesos (Garrido et al.)</t>
    <phoneticPr fontId="1"/>
  </si>
  <si>
    <t>Population (census), 1991</t>
  </si>
  <si>
    <t>Saiegh Tommasi</t>
    <phoneticPr fontId="1"/>
  </si>
  <si>
    <t>Min de Sal</t>
    <phoneticPr fontId="1"/>
  </si>
  <si>
    <t>Gross Provincial Product per capita in 1986 pesos, 1964</t>
  </si>
  <si>
    <t>POVN1997</t>
  </si>
  <si>
    <t>POVN1998</t>
  </si>
  <si>
    <t>POVN1999</t>
  </si>
  <si>
    <t>POVN2000</t>
  </si>
  <si>
    <t>POVN2001</t>
  </si>
  <si>
    <t>POVN2002</t>
  </si>
  <si>
    <t>Avila, Jorge, w/Enrique Bulit Goñi, Oscar Libonatti, Horacio Piffano, &amp; Mario Salinardi (2000). "Propuesta de Federalismo Fiscal," p. 61. Bs. As.: Consejo Empresario Argentino, 27 March. Accessed May 28, 2001, at www.consejoempresario.com.ar/PDF/FEDE.pdf</t>
    <phoneticPr fontId="1"/>
  </si>
  <si>
    <t>Avila</t>
    <phoneticPr fontId="1"/>
  </si>
  <si>
    <t>Gross Provincial Product per capita in 1986 pesos, 1978</t>
  </si>
  <si>
    <t>Gross Provincial Product per capita in 1986 pesos, 1979</t>
  </si>
  <si>
    <t>POVN1993</t>
  </si>
  <si>
    <t>MMR84</t>
    <phoneticPr fontId="1"/>
  </si>
  <si>
    <t>Gross Provincial Product per capita in 1986 pesos, 1995</t>
  </si>
  <si>
    <t>IMR93</t>
    <phoneticPr fontId="1"/>
  </si>
  <si>
    <t>IMR94</t>
    <phoneticPr fontId="1"/>
  </si>
  <si>
    <t>Infant (0-1) deaths per 1000 live births, 1970</t>
  </si>
  <si>
    <t>Population (census), 1947</t>
  </si>
  <si>
    <t>Population (census), 1960</t>
  </si>
  <si>
    <t>Unemployment rate, Porto Ms., 1995</t>
  </si>
  <si>
    <t>SHAR1993</t>
    <phoneticPr fontId="1"/>
  </si>
  <si>
    <t>GPPM2002</t>
    <phoneticPr fontId="1"/>
  </si>
  <si>
    <t>GPPM2003</t>
    <phoneticPr fontId="1"/>
  </si>
  <si>
    <t>Gross Provincial Product per capita in 1986 pesos, 1961</t>
  </si>
  <si>
    <t>POPC1991</t>
  </si>
  <si>
    <t>GPPUN96</t>
    <phoneticPr fontId="1"/>
  </si>
  <si>
    <t>IMR90</t>
    <phoneticPr fontId="1"/>
  </si>
  <si>
    <t>IMR91</t>
    <phoneticPr fontId="1"/>
  </si>
  <si>
    <t>Provincial share of the 92-95 percent of Argentine GDP that can be assigned to a specific province, 1998</t>
    <phoneticPr fontId="1"/>
  </si>
  <si>
    <t>POPP1963</t>
    <phoneticPr fontId="1"/>
  </si>
  <si>
    <t>POPP1964</t>
    <phoneticPr fontId="1"/>
  </si>
  <si>
    <t>POPP1965</t>
    <phoneticPr fontId="1"/>
  </si>
  <si>
    <t>Mendoza</t>
  </si>
  <si>
    <t>men</t>
  </si>
  <si>
    <t>CU</t>
  </si>
  <si>
    <t>Misiones</t>
  </si>
  <si>
    <t>juj</t>
  </si>
  <si>
    <t>La Pampa</t>
  </si>
  <si>
    <t>lap</t>
  </si>
  <si>
    <t>La Rioja</t>
  </si>
  <si>
    <t>lar</t>
  </si>
  <si>
    <t>Argentina. MSPyMA [Ministerio de Salud Pública y Medio Ambiente] (1983). Estadísticas vitales y de salud. Serie Histórica, Estadísticas Demográficas, Años 1944-1970. Serie 5, No. 22. Buenos Aires: Ministerio de Salud Pública y Medio Ambiente, p. 83</t>
  </si>
  <si>
    <t>Santiago del Estero</t>
  </si>
  <si>
    <t>stg</t>
  </si>
  <si>
    <t>Tierra del Fuego</t>
  </si>
  <si>
    <t>tie</t>
  </si>
  <si>
    <t>Tucumán</t>
  </si>
  <si>
    <t>tuc</t>
  </si>
  <si>
    <t>Argentina</t>
  </si>
  <si>
    <t>Source</t>
  </si>
  <si>
    <t>Neonatal (0-28 days) deaths per 1000 live births, 1994</t>
  </si>
  <si>
    <t>Postneonatal (29-365 days) deaths per 1000 live births, 1994</t>
  </si>
  <si>
    <t>Postneonatal (29-365 days) deaths per 1000 live births, 1996</t>
  </si>
  <si>
    <t>Provincial share of the 92-95 percent of Argentine GDP that can be assigned to a specific province, 2000</t>
    <phoneticPr fontId="1"/>
  </si>
  <si>
    <t>GPPP1961</t>
  </si>
  <si>
    <t>GPPP1962</t>
  </si>
  <si>
    <t>GPPP1963</t>
  </si>
  <si>
    <t>Subcategory Specific</t>
    <phoneticPr fontId="1"/>
  </si>
  <si>
    <t>Source</t>
    <phoneticPr fontId="1"/>
  </si>
  <si>
    <t>INDEC</t>
    <phoneticPr fontId="1"/>
  </si>
  <si>
    <t>GPPP1969</t>
  </si>
  <si>
    <t>GPPP1970</t>
  </si>
  <si>
    <t>GPPP1971</t>
  </si>
  <si>
    <t>Provincial share of the 92-95 percent of Argentine GDP that can be assigned to a specific province, 1999</t>
    <phoneticPr fontId="1"/>
  </si>
  <si>
    <t>Employed plus unemployed as share of total population, Porto Ms., 1993</t>
  </si>
  <si>
    <t>Employed plus unemployed as share of total population, Porto Ms., 1994</t>
  </si>
  <si>
    <t>GPPP1964</t>
  </si>
  <si>
    <t>Santa Fe</t>
  </si>
  <si>
    <t>sfe</t>
  </si>
  <si>
    <t>Provincial public spending on health per capita, 2001 pesos, 1980</t>
  </si>
  <si>
    <t>Population (interpolated), 1961</t>
    <phoneticPr fontId="1"/>
  </si>
  <si>
    <t>POPP1960</t>
    <phoneticPr fontId="1"/>
  </si>
  <si>
    <t>2001</t>
    <phoneticPr fontId="1"/>
  </si>
  <si>
    <t>Population (interpolated), 1962</t>
    <phoneticPr fontId="1"/>
  </si>
  <si>
    <t>Population (interpolated), 1963</t>
    <phoneticPr fontId="1"/>
  </si>
  <si>
    <t>Employed plus unemployed as share of total population, Porto Ms., 1999</t>
  </si>
  <si>
    <t>Provincial public spending on general administration per capita, 2001 pesos, 1991</t>
  </si>
  <si>
    <t>MMR85</t>
    <phoneticPr fontId="1"/>
  </si>
  <si>
    <t>MMR97</t>
    <phoneticPr fontId="1"/>
  </si>
  <si>
    <t>MMR98</t>
    <phoneticPr fontId="1"/>
  </si>
  <si>
    <t>CE</t>
  </si>
  <si>
    <t>Provincial share of the 92-95 percent of Argentine GDP that can be assigned to a specific province, 1994</t>
    <phoneticPr fontId="1"/>
  </si>
  <si>
    <t>Provincial share of the 92-95 percent of Argentine GDP that can be assigned to a specific province, 1995</t>
    <phoneticPr fontId="1"/>
  </si>
  <si>
    <t>Population (interpolated), 1964</t>
    <phoneticPr fontId="1"/>
  </si>
  <si>
    <t>POVN1992</t>
    <phoneticPr fontId="1"/>
  </si>
  <si>
    <t>POVN1994</t>
  </si>
  <si>
    <t>POVN1995</t>
  </si>
  <si>
    <t>POVN1996</t>
  </si>
  <si>
    <t>Provincial public spending per capita, 1998 pesos, 1998</t>
    <phoneticPr fontId="1"/>
  </si>
  <si>
    <t>Porto</t>
    <phoneticPr fontId="1"/>
  </si>
  <si>
    <t>Provincial share of the 92-95 percent of Argentine GDP that can be assigned to a specific province, 2004</t>
    <phoneticPr fontId="1"/>
  </si>
  <si>
    <t>ABR</t>
  </si>
  <si>
    <t>ID</t>
  </si>
  <si>
    <t>Region</t>
  </si>
  <si>
    <t>IMR60</t>
  </si>
  <si>
    <t>IMR70</t>
  </si>
  <si>
    <t>NNMR94</t>
  </si>
  <si>
    <t xml:space="preserve"> United Nations (Argentine Office), "Problemas y riesgos específicos de salud." Accessed June 5, 2001, at http://www.un.org.ar/salud.htm Original data: MSyAS No. 38 Serie 5, 1995</t>
  </si>
  <si>
    <t>Crude death rate</t>
    <phoneticPr fontId="1"/>
  </si>
  <si>
    <t>Population (census), 1970</t>
  </si>
  <si>
    <t>SHAR1995</t>
    <phoneticPr fontId="1"/>
  </si>
  <si>
    <t>SHAR1996</t>
    <phoneticPr fontId="1"/>
  </si>
  <si>
    <t>SHAR1997</t>
    <phoneticPr fontId="1"/>
  </si>
  <si>
    <t>POPC1960</t>
  </si>
  <si>
    <t>POPC1970</t>
  </si>
  <si>
    <t>SHAR1999</t>
    <phoneticPr fontId="1"/>
  </si>
  <si>
    <t>SHAR2000</t>
    <phoneticPr fontId="1"/>
  </si>
  <si>
    <t>GPPM2000</t>
    <phoneticPr fontId="1"/>
  </si>
  <si>
    <t>GPPM2001</t>
    <phoneticPr fontId="1"/>
  </si>
  <si>
    <t>GPPM1988</t>
    <phoneticPr fontId="1"/>
  </si>
  <si>
    <t>GPPM1989</t>
    <phoneticPr fontId="1"/>
  </si>
  <si>
    <t>GPPM1990</t>
    <phoneticPr fontId="1"/>
  </si>
  <si>
    <t>GPPM1991</t>
    <phoneticPr fontId="1"/>
  </si>
  <si>
    <t>GPPM1992</t>
    <phoneticPr fontId="1"/>
  </si>
  <si>
    <t>GPPM1993</t>
    <phoneticPr fontId="1"/>
  </si>
  <si>
    <t>GPPM1994</t>
    <phoneticPr fontId="1"/>
  </si>
  <si>
    <t>GPPM2004</t>
    <phoneticPr fontId="1"/>
  </si>
  <si>
    <t>IMR92</t>
    <phoneticPr fontId="1"/>
  </si>
  <si>
    <t>Public spending</t>
    <phoneticPr fontId="1"/>
  </si>
  <si>
    <t>Males per 100 females, 1991</t>
  </si>
  <si>
    <t>Provincial share of the 92-95 percent of Argentine GDP that can be assigned to a specific province, 2005</t>
    <phoneticPr fontId="1"/>
  </si>
  <si>
    <t>Provincial public spending per capita, 2001 pesos, 1980</t>
    <phoneticPr fontId="1"/>
  </si>
  <si>
    <t>ACTV1999</t>
  </si>
  <si>
    <t>ACTV2000</t>
  </si>
  <si>
    <t>ACTV2001</t>
  </si>
  <si>
    <t>ACTV2002</t>
  </si>
  <si>
    <t>ACTV1992</t>
  </si>
  <si>
    <t>Unemployment</t>
    <phoneticPr fontId="1"/>
  </si>
  <si>
    <t>Gross Provincial Product per capita in 1986 pesos, 1991</t>
    <phoneticPr fontId="1"/>
  </si>
  <si>
    <t>PNMR96</t>
  </si>
  <si>
    <t>LE96AP</t>
  </si>
  <si>
    <t>SHAR2003</t>
    <phoneticPr fontId="1"/>
  </si>
  <si>
    <t>SHAR2004</t>
    <phoneticPr fontId="1"/>
  </si>
  <si>
    <t>POPC1980</t>
  </si>
  <si>
    <t>SHAR2002</t>
    <phoneticPr fontId="1"/>
  </si>
  <si>
    <t>Crude death rate, 1996</t>
  </si>
  <si>
    <t>PNMR94</t>
  </si>
  <si>
    <t>POPC2001</t>
  </si>
  <si>
    <t>IMR95</t>
    <phoneticPr fontId="1"/>
  </si>
  <si>
    <t>Gini index of income inequality, Porto Ms., 1999</t>
    <phoneticPr fontId="1"/>
  </si>
  <si>
    <t>IMR04</t>
    <phoneticPr fontId="1"/>
  </si>
  <si>
    <t>IMR05</t>
    <phoneticPr fontId="1"/>
  </si>
  <si>
    <t>Activity rate</t>
    <phoneticPr fontId="1"/>
  </si>
  <si>
    <t>IMR06</t>
    <phoneticPr fontId="1"/>
  </si>
  <si>
    <t>Porto, Alberto, Director (2004). Disparidades regionales y federalismo fiscal. La Plata, Argentina: Editorial de la Universidad de La Plata, p. 26. Accessed December 21, 2009, at http://www.depeco.econo.unlp.edu.ar/federalismo/default.htm</t>
    <phoneticPr fontId="1"/>
  </si>
  <si>
    <t>Gini index of income inequality, Porto Ms., 1996</t>
    <phoneticPr fontId="1"/>
  </si>
  <si>
    <t>Gini index of income inequality, Porto Ms., 1997</t>
    <phoneticPr fontId="1"/>
  </si>
  <si>
    <t>SPGP1980</t>
    <phoneticPr fontId="1"/>
  </si>
  <si>
    <t>SPGP1990</t>
    <phoneticPr fontId="1"/>
  </si>
  <si>
    <t>SPGP2000</t>
    <phoneticPr fontId="1"/>
  </si>
  <si>
    <t>Employed plus unemployed as share of total population, Porto Ms., 1995</t>
  </si>
  <si>
    <t>UNEM2000</t>
  </si>
  <si>
    <t>UNEM2001</t>
  </si>
  <si>
    <t>UNEM2002</t>
  </si>
  <si>
    <t>UNEM1992</t>
  </si>
  <si>
    <t>Unemployment rate, Porto Ms., 2002</t>
  </si>
  <si>
    <t>Provincial share of the 92-95 percent of Argentine GDP that can be assigned to a specific province, 2002</t>
    <phoneticPr fontId="1"/>
  </si>
  <si>
    <t>Provincial public spending per capita, 2001 pesos, 2001</t>
    <phoneticPr fontId="1"/>
  </si>
  <si>
    <t>SPCP1980</t>
    <phoneticPr fontId="1"/>
  </si>
  <si>
    <t>Provincial share of the 92-95 percent of Argentine GDP that can be assigned to a specific province, 2001</t>
    <phoneticPr fontId="1"/>
  </si>
  <si>
    <t>GPPP1968</t>
  </si>
  <si>
    <t>Provincial share of the 92-95 percent of Argentine GDP that can be assigned to a specific province, 2003</t>
    <phoneticPr fontId="1"/>
  </si>
  <si>
    <t>San Luis</t>
  </si>
  <si>
    <t>Gross provincial product per capita, 1959, in 1996 pesos (Saiegh and Tommasi)</t>
    <phoneticPr fontId="1"/>
  </si>
  <si>
    <t>Porto, Alberto, Director (2004). Disparidades regionales y federalismo fiscal. La Plata, Argentina: Editorial de la Universidad de La Plata, p. 308. Accessed December 21, 2009, at http://www.depeco.econo.unlp.edu.ar/federalismo/default.htm</t>
    <phoneticPr fontId="1"/>
  </si>
  <si>
    <t>Employed plus unemployed as share of total population, Porto Ms., 1996</t>
  </si>
  <si>
    <t>Gross provincial product per capita, 1998, in 1999 pesos</t>
    <phoneticPr fontId="1"/>
  </si>
  <si>
    <t>MMR92</t>
    <phoneticPr fontId="1"/>
  </si>
  <si>
    <t>GPPP2000</t>
  </si>
  <si>
    <t>MMR96</t>
    <phoneticPr fontId="1"/>
  </si>
  <si>
    <t>Income</t>
    <phoneticPr fontId="1"/>
  </si>
  <si>
    <t>Buenos Aires</t>
  </si>
  <si>
    <t>bue</t>
  </si>
  <si>
    <t>Population (interpolated), 1965</t>
    <phoneticPr fontId="1"/>
  </si>
  <si>
    <t>Mortality</t>
    <phoneticPr fontId="1"/>
  </si>
  <si>
    <t>Provincial share of the 92-95 percent of Argentine GDP that can be assigned to a specific province, 1996</t>
    <phoneticPr fontId="1"/>
  </si>
  <si>
    <t>Min Sal</t>
    <phoneticPr fontId="1"/>
  </si>
  <si>
    <t>Employed plus unemployed as share of total population, Porto Ms., 2002</t>
  </si>
  <si>
    <t>Employed plus unemployed as share of total population, Porto Ms., 1992</t>
  </si>
  <si>
    <t>ACTV1993</t>
  </si>
  <si>
    <t>ACTV1994</t>
  </si>
  <si>
    <t>ACTV1995</t>
  </si>
  <si>
    <t>ACTV1996</t>
  </si>
  <si>
    <t>Population (interpolated), 1966</t>
    <phoneticPr fontId="1"/>
  </si>
  <si>
    <t>Provincial public spending per capita as % GPP per capita, 1980</t>
    <phoneticPr fontId="1"/>
  </si>
  <si>
    <t>Provincial public spending per capita as % GPP per capita, 2000</t>
    <phoneticPr fontId="1"/>
  </si>
  <si>
    <t>SPHPCP80</t>
  </si>
  <si>
    <t>SPEPCP80</t>
  </si>
  <si>
    <t>SPWPCP80</t>
  </si>
  <si>
    <t>SPAPCP80</t>
  </si>
  <si>
    <t>SPSPCP91</t>
  </si>
  <si>
    <t>SPHPCP91</t>
  </si>
  <si>
    <t>SPEPCP91</t>
  </si>
  <si>
    <t>SPWPCP91</t>
  </si>
  <si>
    <t>SPAPCP91</t>
  </si>
  <si>
    <t>SPSPCP00</t>
  </si>
  <si>
    <t>SPHPCP00</t>
  </si>
  <si>
    <t>SPEPCP00</t>
  </si>
  <si>
    <t>SPWPCP00</t>
  </si>
  <si>
    <t>SPAPCP00</t>
  </si>
  <si>
    <t>Provincial public spending per capita, 2001 pesos, 1959</t>
    <phoneticPr fontId="1"/>
  </si>
  <si>
    <t>Gross provincial product per capita, 1979, in constant 1996 pesos (Garrido et al.)</t>
    <phoneticPr fontId="1"/>
  </si>
  <si>
    <t>Infant (0-1) deaths per 1000 live births, 1960</t>
  </si>
  <si>
    <t>Provincial public spending on social welfare per capita, 2001 pesos, 1970</t>
    <phoneticPr fontId="1"/>
  </si>
  <si>
    <t>SPSPCP59</t>
    <phoneticPr fontId="1"/>
  </si>
  <si>
    <t>SPWPCP59</t>
    <phoneticPr fontId="1"/>
  </si>
  <si>
    <t>Unemployment rate, Porto Ms., 1996</t>
  </si>
  <si>
    <t>Unemployment rate, Porto Ms., 1997</t>
  </si>
  <si>
    <t>Life expectancy at birth, 1996, HDR-Argentina 1999 Appendix</t>
  </si>
  <si>
    <t>LE96TX</t>
  </si>
  <si>
    <t>CDR96</t>
  </si>
  <si>
    <t>SHAR2001</t>
    <phoneticPr fontId="1"/>
  </si>
  <si>
    <t>POPC1895</t>
  </si>
  <si>
    <t>Accessed July 31, 2007, at www.indec.gov.ar/nuevaweb/cuadros/2/p020102.xls</t>
  </si>
  <si>
    <t>Gross provincial product per capita, 1995, in constant 1996 pesos (Garrido et al.)</t>
    <phoneticPr fontId="1"/>
  </si>
  <si>
    <t>SHAR1994</t>
    <phoneticPr fontId="1"/>
  </si>
  <si>
    <t>Provincial share of the 92-95 percent of Argentine GDP that can be assigned to a specific province, 1997</t>
    <phoneticPr fontId="1"/>
  </si>
  <si>
    <t>SPGP2001</t>
    <phoneticPr fontId="1"/>
  </si>
  <si>
    <t>Employment</t>
    <phoneticPr fontId="1"/>
  </si>
  <si>
    <t>SPSPCP70</t>
  </si>
  <si>
    <t>SPHPCP70</t>
  </si>
  <si>
    <t>Life expectancy at birth, 1996, HDR-Argentina 1999 text</t>
  </si>
  <si>
    <t>Gini index of income inequality, Porto Ms., 1992</t>
    <phoneticPr fontId="1"/>
  </si>
  <si>
    <t>Porto, Alberto, Director (2004). Disparidades regionales y federalismo fiscal. La Plata, Argentina: Editorial de la Universidad de La Plata, p. 125. Accessed December 21, 2009, at http://www.depeco.econo.unlp.edu.ar/federalismo/default.htm</t>
    <phoneticPr fontId="1"/>
  </si>
  <si>
    <t>SPCP1959</t>
    <phoneticPr fontId="1"/>
  </si>
  <si>
    <t>SPCP1970</t>
    <phoneticPr fontId="1"/>
  </si>
  <si>
    <t>SPCP1990</t>
    <phoneticPr fontId="1"/>
  </si>
  <si>
    <t>SPCP2000</t>
    <phoneticPr fontId="1"/>
  </si>
  <si>
    <t>Unemployment rate, Porto Ms., 1992</t>
  </si>
  <si>
    <t>UNEM1993</t>
  </si>
  <si>
    <t>UNEM1994</t>
  </si>
  <si>
    <t>UNEM1995</t>
  </si>
  <si>
    <t>UNEM1996</t>
  </si>
  <si>
    <t>UNEM1997</t>
  </si>
  <si>
    <t>UNEM1998</t>
  </si>
  <si>
    <t>UNEM1999</t>
  </si>
  <si>
    <t>Gini index of income inequality, Porto Ms., 1998</t>
    <phoneticPr fontId="1"/>
  </si>
  <si>
    <t>Gini index of income inequality, Porto Ms., 1993</t>
    <phoneticPr fontId="1"/>
  </si>
  <si>
    <t>Gini index of income inequality, Porto Ms., 1994</t>
    <phoneticPr fontId="1"/>
  </si>
  <si>
    <t>Gini index of income inequality, Porto Ms., 1995</t>
    <phoneticPr fontId="1"/>
  </si>
  <si>
    <t>Provincial public spending on general administration per capita, 2001 pesos, 1959</t>
  </si>
  <si>
    <t>SPDPCP59</t>
    <phoneticPr fontId="1"/>
  </si>
  <si>
    <t>Provincial public spending on development per capita, 2001 pesos, 1980</t>
  </si>
  <si>
    <t>Provincial public spending on security per capita, 2001 pesos, 1980</t>
  </si>
  <si>
    <t>Provincial public spending per capita as % GPP per capita, 1961</t>
    <phoneticPr fontId="1"/>
  </si>
  <si>
    <t>POPP1966</t>
    <phoneticPr fontId="1"/>
  </si>
  <si>
    <t>rio</t>
  </si>
  <si>
    <t>Salta</t>
  </si>
  <si>
    <t>sal</t>
  </si>
  <si>
    <t>San Juan</t>
  </si>
  <si>
    <t>sju</t>
  </si>
  <si>
    <t>Porto, Alberto, Director (2004). Disparidades regionales y federalismo fiscal. La Plata, Argentina: Editorial de la Universidad de La Plata, p. 27. Accessed December 21, 2009, at http://www.depeco.econo.unlp.edu.ar/federalismo/default.htm</t>
    <phoneticPr fontId="1"/>
  </si>
  <si>
    <t>SPCA1998</t>
    <phoneticPr fontId="1"/>
  </si>
  <si>
    <t>SPGP1961</t>
    <phoneticPr fontId="1"/>
  </si>
  <si>
    <t>Provincial share of the 92-95 percent of Argentine GDP that can be assigned to a specific province, 1993</t>
    <phoneticPr fontId="1"/>
  </si>
  <si>
    <t>Gini index of income inequality, Porto Ms., 2002</t>
    <phoneticPr fontId="1"/>
  </si>
  <si>
    <t>-</t>
  </si>
  <si>
    <t>Provincial public spending on general administration per capita, 2001 pesos, 1970</t>
    <phoneticPr fontId="1"/>
  </si>
  <si>
    <t>SPAPCP70</t>
  </si>
  <si>
    <t>Employed plus unemployed as share of total population, Porto Ms., 2001</t>
  </si>
  <si>
    <t>Porto, Alberto, Director (2004). Disparidades regionales y federalismo fiscal. La Plata, Argentina: Editorial de la Universidad de La Plata, p. 307. Accessed December 21, 2009, at http://www.depeco.econo.unlp.edu.ar/federalismo/default.htm</t>
    <phoneticPr fontId="1"/>
  </si>
  <si>
    <t>Provincial public spending on social welfare per capita, 2001 pesos, 1991</t>
  </si>
  <si>
    <t>Population</t>
    <phoneticPr fontId="1"/>
  </si>
  <si>
    <t>Population</t>
  </si>
  <si>
    <t>ACTV1997</t>
  </si>
  <si>
    <t>Gini index of income inequality, Porto Ms., 2001</t>
    <phoneticPr fontId="1"/>
  </si>
  <si>
    <t>Health facilities</t>
  </si>
  <si>
    <t>Health care deliv</t>
    <phoneticPr fontId="1"/>
  </si>
  <si>
    <t>Employed plus unemployed as share of total population, Porto Ms., 2000</t>
  </si>
  <si>
    <t>Provincial public spending per capita as % GPP per capita, 2001</t>
    <phoneticPr fontId="1"/>
  </si>
  <si>
    <t>Lack water &amp; sewer</t>
    <phoneticPr fontId="1"/>
  </si>
  <si>
    <t>ACTV1998</t>
  </si>
  <si>
    <t>Gini index of income inequality, Porto Ms., 2000</t>
    <phoneticPr fontId="1"/>
  </si>
  <si>
    <t>Porto, Alberto, Director (2004). Disparidades regionales y federalismo fiscal. La Plata, Argentina: Editorial de la Universidad de La Plata, p. 309. Accessed December 21, 2009, at http://www.depeco.econo.unlp.edu.ar/federalismo/default.htm</t>
    <phoneticPr fontId="1"/>
  </si>
  <si>
    <t>Provincial revenue per capita, 1998 pesos, 1998</t>
    <phoneticPr fontId="1"/>
  </si>
  <si>
    <t>Provincial revenue per capita as % GPP per capita, 1998</t>
    <phoneticPr fontId="1"/>
  </si>
  <si>
    <t>Provincial public spending on security per capita, 2001 pesos, 1959</t>
  </si>
  <si>
    <t>Provincial public spending on health per capita, 2001 pesos, 1959</t>
  </si>
  <si>
    <t>Provincial public spending on education and culture per capita, 2001 pesos, 1959</t>
  </si>
  <si>
    <t>Population (interpolated), 1987</t>
    <phoneticPr fontId="1"/>
  </si>
  <si>
    <t>Population (interpolated), 1988</t>
  </si>
  <si>
    <t>Provincial public spending on social welfare per capita, 2001 pesos, 1959</t>
  </si>
  <si>
    <t>Unemployment rate, Porto Ms., 1998</t>
  </si>
  <si>
    <t>SHAR2005</t>
    <phoneticPr fontId="1"/>
  </si>
  <si>
    <t>Unemployment rate, Porto Ms., 1994</t>
  </si>
  <si>
    <t>SPAPCP59</t>
    <phoneticPr fontId="1"/>
  </si>
  <si>
    <t>SHAR1998</t>
    <phoneticPr fontId="1"/>
  </si>
  <si>
    <t>SPHPCP59</t>
    <phoneticPr fontId="1"/>
  </si>
  <si>
    <t>Porto, Alberto, Director (2004). Disparidades regionales y federalismo fiscal. La Plata, Argentina: Editorial de la Universidad de La Plata, p. 305. Accessed December 21, 2009, at http://www.depeco.econo.unlp.edu.ar/federalismo/default.htm</t>
    <phoneticPr fontId="1"/>
  </si>
  <si>
    <t>Urbanization, 1996</t>
  </si>
  <si>
    <t>Surface area in square kilometers</t>
    <phoneticPr fontId="1"/>
  </si>
  <si>
    <t>Mean years of schooling, 1960</t>
  </si>
  <si>
    <t>SPCP2001</t>
    <phoneticPr fontId="1"/>
  </si>
  <si>
    <t>Provincial public spending per capita, 2001 pesos, 1970</t>
    <phoneticPr fontId="1"/>
  </si>
  <si>
    <t>SPEPCP70</t>
  </si>
  <si>
    <t>SPWPCP70</t>
  </si>
  <si>
    <t>SPDPCP70</t>
  </si>
  <si>
    <t>Provincial public spending on development per capita, 2001 pesos, 1959</t>
  </si>
  <si>
    <t>Unemployment rate, Porto Ms., 1999</t>
  </si>
  <si>
    <t>Unemployment rate, Porto Ms., 2000</t>
  </si>
  <si>
    <t>Provincial public spending on security per capita, 2001 pesos, 1970</t>
    <phoneticPr fontId="1"/>
  </si>
  <si>
    <t>Provincial public spending on health per capita, 2001 pesos, 1970</t>
    <phoneticPr fontId="1"/>
  </si>
  <si>
    <t>Provincial public spending on education and culture per capita, 2001 pesos, 1970</t>
    <phoneticPr fontId="1"/>
  </si>
  <si>
    <t>Unemployment rate, Porto Ms., 2001</t>
  </si>
  <si>
    <t>Employed plus unemployed as share of total population, Porto Ms., 1998</t>
  </si>
  <si>
    <t>Provincial public spending per capita, 2001 pesos, 2000</t>
    <phoneticPr fontId="1"/>
  </si>
  <si>
    <t>Provincial public spending on development per capita, 2001 pesos, 1991</t>
  </si>
  <si>
    <t>SPGP1970</t>
    <phoneticPr fontId="1"/>
  </si>
  <si>
    <t>CEDI [Centro de Estudios para el Desarrollo Institucional] (2002). "El functionamiento del sistema de salud Argentino en un contexto federal." Documento 77 (September). Buenos Aires. p. 86.</t>
  </si>
  <si>
    <t>Provincial public spending on health per capita, 2001 pesos, 1991</t>
  </si>
  <si>
    <t>Hospital  beds per 10000 population, 1996</t>
  </si>
  <si>
    <t>Health Facilities, 1995</t>
  </si>
  <si>
    <t>Health Facilities, Inpatient, 1995</t>
  </si>
  <si>
    <t>Health Facilities, Outpatient, 1995</t>
  </si>
  <si>
    <t>Gross provincial product per capita, 1980, in 1996 pesos (Saiegh and Tommasi)</t>
    <phoneticPr fontId="1"/>
  </si>
  <si>
    <t>Total</t>
    <phoneticPr fontId="1"/>
  </si>
  <si>
    <t>Percentage of households without any sort of sanitary facilities</t>
    <phoneticPr fontId="1"/>
  </si>
  <si>
    <t>Public spending on health in $US (incl. Obras Sociales), 1997</t>
  </si>
  <si>
    <t>Private spending on health in $US, 1997</t>
  </si>
  <si>
    <t>Total spending on health in $US, 1997</t>
  </si>
  <si>
    <t>Ratio of public to private spending on health, 1997</t>
  </si>
  <si>
    <t>Geography</t>
    <phoneticPr fontId="1"/>
  </si>
  <si>
    <t>Education</t>
    <phoneticPr fontId="1"/>
  </si>
  <si>
    <t>Housing</t>
    <phoneticPr fontId="1"/>
  </si>
  <si>
    <t>Health spending</t>
  </si>
  <si>
    <t>Water &amp; Sanitation</t>
  </si>
  <si>
    <t>Health personnel</t>
    <phoneticPr fontId="1"/>
  </si>
  <si>
    <t>Total</t>
    <phoneticPr fontId="1"/>
  </si>
  <si>
    <t>Provincial public spending per capita, 2001 pesos, 1990</t>
    <phoneticPr fontId="1"/>
  </si>
  <si>
    <t>Pub to priv ratio</t>
    <phoneticPr fontId="1"/>
  </si>
  <si>
    <t>PROMIN</t>
    <phoneticPr fontId="1"/>
  </si>
  <si>
    <t>PNMI</t>
    <phoneticPr fontId="1"/>
  </si>
  <si>
    <t>Provincial public spending per capita as % GPP per capita, 1990</t>
    <phoneticPr fontId="1"/>
  </si>
  <si>
    <t>SPDPCP80</t>
  </si>
  <si>
    <t>SPDPCP91</t>
  </si>
  <si>
    <t>SPDPCP00</t>
  </si>
  <si>
    <t>SPSPCP80</t>
  </si>
  <si>
    <t>Porto, Alberto, Director (2004). Disparidades regionales y federalismo fiscal. La Plata, Argentina: Editorial de la Universidad de La Plata, p. 127. Accessed December 21, 2009, at http://www.depeco.econo.unlp.edu.ar/federalismo/default.htm</t>
    <phoneticPr fontId="1"/>
  </si>
  <si>
    <t>Unemployment rate, Porto Ms., 1993</t>
  </si>
  <si>
    <t>Provincial public spending on development per capita, 2001 pesos, 1970</t>
    <phoneticPr fontId="1"/>
  </si>
  <si>
    <t>Porto, Alberto, Director (2004). Disparidades regionales y federalismo fiscal. La Plata, Argentina: Editorial de la Universidad de La Plata, p. 16. Accessed December 21, 2009, at http://www.depeco.econo.unlp.edu.ar/federalismo/default.htm</t>
    <phoneticPr fontId="1"/>
  </si>
  <si>
    <t>% precarious</t>
    <phoneticPr fontId="1"/>
  </si>
  <si>
    <t>Porto Ms.</t>
    <phoneticPr fontId="1"/>
  </si>
  <si>
    <t>Elías</t>
    <phoneticPr fontId="1"/>
  </si>
  <si>
    <t>INDEC, Censo Nacional de Población y Vivienda 1991, Serie B. Accessed June 5, 2001, at http://www.indec.mecon.ar/anuario/inf_nac/castella/v020101.xls</t>
  </si>
  <si>
    <t>POPP1974</t>
    <phoneticPr fontId="1"/>
  </si>
  <si>
    <t>POPP1975</t>
    <phoneticPr fontId="1"/>
  </si>
  <si>
    <t>Sum of SPAPCP00, SPSPCP00, SPHPCP00, SPEPCP00, SPWPCP00, and SPDPCP00</t>
  </si>
  <si>
    <t>Public spending</t>
  </si>
  <si>
    <t>% total pub spend</t>
  </si>
  <si>
    <t>Persons per square kilometer, 1991</t>
  </si>
  <si>
    <t>Porto, Alberto, Director (2004). Disparidades regionales y federalismo fiscal. La Plata, Argentina: Editorial de la Universidad de La Plata, p. 306. Accessed December 21, 2009, at http://www.depeco.econo.unlp.edu.ar/federalismo/default.htm</t>
    <phoneticPr fontId="1"/>
  </si>
  <si>
    <t>Mean years of schooling, 1991</t>
  </si>
  <si>
    <t>Net secondary enrollment, 1991</t>
    <phoneticPr fontId="1"/>
  </si>
  <si>
    <t>Net secondary enrollment, 2001</t>
    <phoneticPr fontId="1"/>
  </si>
  <si>
    <t>Educational quality, verbal, 1997</t>
    <phoneticPr fontId="1"/>
  </si>
  <si>
    <t>Educational quality, math 1997</t>
    <phoneticPr fontId="1"/>
  </si>
  <si>
    <t>Educational quality, average verbal/math, 1997</t>
    <phoneticPr fontId="1"/>
  </si>
  <si>
    <t>Illiteracy rate, 1980</t>
    <phoneticPr fontId="1"/>
  </si>
  <si>
    <t>Illiteracy rate, 1991</t>
    <phoneticPr fontId="1"/>
  </si>
  <si>
    <t>Illiteracy rate, 1996</t>
  </si>
  <si>
    <t>Total outpatient</t>
    <phoneticPr fontId="1"/>
  </si>
  <si>
    <t>Public inpatient</t>
    <phoneticPr fontId="1"/>
  </si>
  <si>
    <t>Public outpatient</t>
    <phoneticPr fontId="1"/>
  </si>
  <si>
    <t>Births in health fac</t>
    <phoneticPr fontId="1"/>
  </si>
  <si>
    <t>Live births</t>
    <phoneticPr fontId="1"/>
  </si>
  <si>
    <t>Provincial public spending on education and culture per capita, 2001 pesos, 1980</t>
  </si>
  <si>
    <t>Provincial public spending on social welfare per capita, 2001 pesos, 1980</t>
  </si>
  <si>
    <t>Provincial public spending on security per capita, 2001 pesos, 1991</t>
  </si>
  <si>
    <t>Employed plus unemployed as share of total population, Porto Ms., 1997</t>
  </si>
  <si>
    <t>Percentage of households in precarious structures (viviendas de tipo inconveniente)</t>
    <phoneticPr fontId="1"/>
  </si>
  <si>
    <t>Population (interpolated), 1983</t>
  </si>
  <si>
    <t>Population (interpolated), 1984</t>
  </si>
  <si>
    <t>Population (interpolated), 1977</t>
  </si>
  <si>
    <t>Population (interpolated), 1978</t>
  </si>
  <si>
    <t>Neuquén</t>
    <phoneticPr fontId="1"/>
  </si>
  <si>
    <t>Provincial public spending per capita, 2001 pesos, Porto, 1980</t>
  </si>
  <si>
    <t>Provincial public spending on health as a percentage of total provincial public spending, CONES, 2004</t>
    <phoneticPr fontId="1"/>
  </si>
  <si>
    <t>Percentage of households with a an average of more than 3 persons per room</t>
    <phoneticPr fontId="1"/>
  </si>
  <si>
    <t>Capital city latit</t>
    <phoneticPr fontId="1"/>
  </si>
  <si>
    <t>La Plata</t>
    <phoneticPr fontId="1"/>
  </si>
  <si>
    <t>Buenos Aires</t>
    <phoneticPr fontId="1"/>
  </si>
  <si>
    <t>SPHSHG00</t>
    <phoneticPr fontId="1"/>
  </si>
  <si>
    <t>Public Health Facilities, Inpatient, 1995</t>
  </si>
  <si>
    <t>Public Health Facilities, Outpatient, 1995</t>
  </si>
  <si>
    <t>Informe Argentino sobre Desarrollo Humano 1995. Anexo Estadístico. Accessed May 28, 2001, at http://www.undp.org.ar/idh/95_arg/aestad.html</t>
  </si>
  <si>
    <t>Doctors/10,000</t>
    <phoneticPr fontId="1"/>
  </si>
  <si>
    <t>Hosp. beds/10000</t>
    <phoneticPr fontId="1"/>
  </si>
  <si>
    <t>Total inpatient</t>
    <phoneticPr fontId="1"/>
  </si>
  <si>
    <t>Salta</t>
    <phoneticPr fontId="1"/>
  </si>
  <si>
    <t>Río Gallegos</t>
    <phoneticPr fontId="1"/>
  </si>
  <si>
    <t>Usuhaia</t>
    <phoneticPr fontId="1"/>
  </si>
  <si>
    <t>Tucumán</t>
    <phoneticPr fontId="1"/>
  </si>
  <si>
    <t>PROMIN II transfers to provincial governments, millions of "$", 2000</t>
  </si>
  <si>
    <t>Mother and infant subprogram, transfers to provincial governments, millions of pesos, 2000</t>
  </si>
  <si>
    <t>Proportion of population without water and sewerage. 1996</t>
  </si>
  <si>
    <t>Doctors per 10000 population, 1996</t>
  </si>
  <si>
    <t>Pop Density</t>
    <phoneticPr fontId="1"/>
  </si>
  <si>
    <t>Total fertility rate</t>
    <phoneticPr fontId="1"/>
  </si>
  <si>
    <t>Sex ratio</t>
    <phoneticPr fontId="1"/>
  </si>
  <si>
    <t>Urbanization</t>
  </si>
  <si>
    <t>Surface Area</t>
    <phoneticPr fontId="1"/>
  </si>
  <si>
    <t>Porto, Alberto, Director (2004). Disparidades regionales y federalismo fiscal. La Plata, Argentina: Editorial de la Universidad de La Plata, p. 20. Accessed December 21, 2009, at http://www.depeco.econo.unlp.edu.ar/federalismo/default.htm</t>
    <phoneticPr fontId="1"/>
  </si>
  <si>
    <t>per capita</t>
    <phoneticPr fontId="1"/>
  </si>
  <si>
    <t>% total pub spend</t>
    <phoneticPr fontId="1"/>
  </si>
  <si>
    <t>Porto</t>
    <phoneticPr fontId="1"/>
  </si>
  <si>
    <t>Porto, Alberto, Director (2004). Disparidades regionales y federalismo fiscal. La Plata, Argentina: Editorial de la Universidad de La Plata, p. 17. Accessed December 21, 2009, at http://www.depeco.econo.unlp.edu.ar/federalismo/default.htm</t>
    <phoneticPr fontId="1"/>
  </si>
  <si>
    <t>Average</t>
    <phoneticPr fontId="1"/>
  </si>
  <si>
    <t>POPP1983</t>
    <phoneticPr fontId="1"/>
  </si>
  <si>
    <t>POPP1984</t>
    <phoneticPr fontId="1"/>
  </si>
  <si>
    <t>POPP1985</t>
    <phoneticPr fontId="1"/>
  </si>
  <si>
    <t>Porto Ms</t>
    <phoneticPr fontId="1"/>
  </si>
  <si>
    <t>Porto Ms</t>
    <phoneticPr fontId="1"/>
  </si>
  <si>
    <t>Provincial public spending on health as a percentage of total provincial public spending, CONES, 2002</t>
    <phoneticPr fontId="1"/>
  </si>
  <si>
    <t>Provincial public spending on health as a percentage of total provincial public spending, CONES, 1991</t>
    <phoneticPr fontId="1"/>
  </si>
  <si>
    <t>Provincial public spending on health as a share of total provincial public spending, 2000</t>
    <phoneticPr fontId="1"/>
  </si>
  <si>
    <t>SPTPCP00</t>
    <phoneticPr fontId="1"/>
  </si>
  <si>
    <t>2005</t>
    <phoneticPr fontId="1"/>
  </si>
  <si>
    <t>Gogna</t>
    <phoneticPr fontId="1"/>
  </si>
  <si>
    <t>CONES</t>
    <phoneticPr fontId="1"/>
  </si>
  <si>
    <t>Gogna</t>
  </si>
  <si>
    <t>EDQV1997</t>
    <phoneticPr fontId="1"/>
  </si>
  <si>
    <t>POPP1988</t>
    <phoneticPr fontId="1"/>
  </si>
  <si>
    <t>Males/100 females</t>
    <phoneticPr fontId="1"/>
  </si>
  <si>
    <t>Verbal</t>
    <phoneticPr fontId="1"/>
  </si>
  <si>
    <t>per capita</t>
    <phoneticPr fontId="1"/>
  </si>
  <si>
    <t>per capita</t>
  </si>
  <si>
    <t>Argentina. Instituto Nacional de Estadística y Censos (2009). Indicadores seleccionados de natalidad por provincia. Años 1980, 1990, 2000 y 2006. Accessed December 16, 2009, at http://www.indec.gov.ar/nuevaweb/cuadros/7/sesd_04c05.xls</t>
    <phoneticPr fontId="1"/>
  </si>
  <si>
    <t>Capital city longit</t>
    <phoneticPr fontId="1"/>
  </si>
  <si>
    <t>AREA2001</t>
    <phoneticPr fontId="1"/>
  </si>
  <si>
    <t>MYS 1960</t>
  </si>
  <si>
    <t>MYS 1991</t>
  </si>
  <si>
    <t>ENRL1991</t>
    <phoneticPr fontId="1"/>
  </si>
  <si>
    <t>ENRL2001</t>
    <phoneticPr fontId="1"/>
  </si>
  <si>
    <t>SPEPCP59</t>
    <phoneticPr fontId="1"/>
  </si>
  <si>
    <t>Provincial public spending on education and culture per capita, 2001 pesos, 1991</t>
  </si>
  <si>
    <t>2001</t>
    <phoneticPr fontId="1"/>
  </si>
  <si>
    <t>1991</t>
    <phoneticPr fontId="1"/>
  </si>
  <si>
    <t>Population (interpolated), 1967</t>
    <phoneticPr fontId="1"/>
  </si>
  <si>
    <t>Population (interpolated), 1982</t>
  </si>
  <si>
    <t>Brissón, María Eugenia et al. (2001), "Políticas Sanitarias, situación de salud en las Provincias Argentinas y su relación con la equidad." Buenos Aires: Organización Panamericana de Salud / Fundación ISALUD, p. 28.</t>
  </si>
  <si>
    <t>% overcrowded</t>
    <phoneticPr fontId="1"/>
  </si>
  <si>
    <t>Rawson</t>
    <phoneticPr fontId="1"/>
  </si>
  <si>
    <t>Paraná</t>
    <phoneticPr fontId="1"/>
  </si>
  <si>
    <t>Formosa</t>
    <phoneticPr fontId="1"/>
  </si>
  <si>
    <t>Elías, Víctor, and Rodrigo Fuentes (1998). "Convergence in the Southern Cone." Estudios de Economía [U. de Chile] 25 No. 2 (December 1998), 179-189.</t>
  </si>
  <si>
    <t>Provincial public spending on health as a percentage of total provincial public spending, CONES, 2003</t>
    <phoneticPr fontId="1"/>
  </si>
  <si>
    <t>INFR96</t>
  </si>
  <si>
    <t>DOCS96</t>
  </si>
  <si>
    <t>BEDS96</t>
  </si>
  <si>
    <t>FCT95</t>
  </si>
  <si>
    <t>FCTI95</t>
  </si>
  <si>
    <t>FCTO95</t>
  </si>
  <si>
    <t>FCPI95</t>
  </si>
  <si>
    <t>FCPO95</t>
  </si>
  <si>
    <t>BIRFAC</t>
    <phoneticPr fontId="1"/>
  </si>
  <si>
    <t>Population (interpolated), 1996</t>
  </si>
  <si>
    <t>Population (interpolated), 1997</t>
  </si>
  <si>
    <t>Population (interpolated), 1998</t>
    <phoneticPr fontId="1"/>
  </si>
  <si>
    <t>POPP1967</t>
    <phoneticPr fontId="1"/>
  </si>
  <si>
    <t>POPP1968</t>
    <phoneticPr fontId="1"/>
  </si>
  <si>
    <t>POPP1969</t>
    <phoneticPr fontId="1"/>
  </si>
  <si>
    <t>POPP1970</t>
    <phoneticPr fontId="1"/>
  </si>
  <si>
    <t>Viedma</t>
    <phoneticPr fontId="1"/>
  </si>
  <si>
    <t>San Fernando del Valle de Catamarca</t>
    <phoneticPr fontId="1"/>
  </si>
  <si>
    <t>Number of live births, by province of occurrence, 1980</t>
    <phoneticPr fontId="1"/>
  </si>
  <si>
    <t>Provincial public spending on security per capita, 2001 pesos, 2000</t>
  </si>
  <si>
    <t>Provincial public spending on social welfare per capita, 2001 pesos, 2000</t>
  </si>
  <si>
    <t>% no sanitary facil</t>
    <phoneticPr fontId="1"/>
  </si>
  <si>
    <t>Public</t>
    <phoneticPr fontId="1"/>
  </si>
  <si>
    <t>Private</t>
    <phoneticPr fontId="1"/>
  </si>
  <si>
    <t>Population (interpolated), 1989</t>
  </si>
  <si>
    <t>Population (interpolated), 1990</t>
    <phoneticPr fontId="1"/>
  </si>
  <si>
    <t>POPP1971</t>
    <phoneticPr fontId="1"/>
  </si>
  <si>
    <t>Provincial public spending per capita as % GPP per capita, 1970</t>
    <phoneticPr fontId="1"/>
  </si>
  <si>
    <t>Provincial public spending on education and culture per capita, 2001 pesos, 2000</t>
  </si>
  <si>
    <t>Provincial public spending on development per capita, 2001 pesos, 2000</t>
  </si>
  <si>
    <t>Provincial public spending on general administration per capita, 2001 pesos, 2000</t>
  </si>
  <si>
    <t>Population (interpolated), 1986</t>
  </si>
  <si>
    <t>Persons per square kilometer, 2001</t>
    <phoneticPr fontId="1"/>
  </si>
  <si>
    <t>Total fertility rate, 1996</t>
  </si>
  <si>
    <t>POPP1976</t>
    <phoneticPr fontId="1"/>
  </si>
  <si>
    <t>POPP1982</t>
    <phoneticPr fontId="1"/>
  </si>
  <si>
    <t>POPP1992</t>
    <phoneticPr fontId="1"/>
  </si>
  <si>
    <t>POPP1993</t>
    <phoneticPr fontId="1"/>
  </si>
  <si>
    <t>POPP1994</t>
    <phoneticPr fontId="1"/>
  </si>
  <si>
    <t>POPP1995</t>
    <phoneticPr fontId="1"/>
  </si>
  <si>
    <t>POPP1996</t>
    <phoneticPr fontId="1"/>
  </si>
  <si>
    <t>POPP1997</t>
    <phoneticPr fontId="1"/>
  </si>
  <si>
    <t>POPP1998</t>
    <phoneticPr fontId="1"/>
  </si>
  <si>
    <t>DENS2001</t>
    <phoneticPr fontId="1"/>
  </si>
  <si>
    <t>TFR96</t>
  </si>
  <si>
    <t>MFR91</t>
  </si>
  <si>
    <t>URB96</t>
  </si>
  <si>
    <t>Provincial public spending on health per capita, 1999 pesos, Gogna, 1993</t>
    <phoneticPr fontId="1"/>
  </si>
  <si>
    <t>Math</t>
    <phoneticPr fontId="1"/>
  </si>
  <si>
    <t>Population (interpolated), 1993</t>
  </si>
  <si>
    <t>Population (interpolated), 1994</t>
  </si>
  <si>
    <t>Population (interpolated), 1995</t>
  </si>
  <si>
    <t>Provincial public spending per capita, 2001 pesos, Porto, 1959</t>
  </si>
  <si>
    <t>GPPL1977</t>
  </si>
  <si>
    <t>Sum of SPAPCP59, SPSPCP59, SPHPCP59, SPEPCP59, SPWPCP59, and SPDPCP59</t>
  </si>
  <si>
    <t>Provincial public spending per capita, 2001 pesos, Porto, 1970</t>
  </si>
  <si>
    <t>GPPL1978</t>
  </si>
  <si>
    <t>GPPL1979</t>
  </si>
  <si>
    <t>GPPL1980</t>
  </si>
  <si>
    <t>GPPL1981</t>
  </si>
  <si>
    <t>GPPL1982</t>
  </si>
  <si>
    <t>GPPL1983</t>
  </si>
  <si>
    <t>GPPL1984</t>
  </si>
  <si>
    <t>GPPL1985</t>
  </si>
  <si>
    <t>GPPL1986</t>
  </si>
  <si>
    <t>GPPL1987</t>
  </si>
  <si>
    <t>GPPL1988</t>
  </si>
  <si>
    <t>GPPL1989</t>
  </si>
  <si>
    <t>Population (interpolated), 1976</t>
    <phoneticPr fontId="1"/>
  </si>
  <si>
    <t>EDQA1997</t>
    <phoneticPr fontId="1"/>
  </si>
  <si>
    <t>Population (interpolated), 1971</t>
  </si>
  <si>
    <t>Population (interpolated), 1979</t>
  </si>
  <si>
    <t>Population (interpolated), 1981</t>
  </si>
  <si>
    <t>ILLI2001</t>
    <phoneticPr fontId="1"/>
  </si>
  <si>
    <t>Population (interpolated), 1968</t>
    <phoneticPr fontId="1"/>
  </si>
  <si>
    <t>Population (interpolated), 1969</t>
    <phoneticPr fontId="1"/>
  </si>
  <si>
    <t>Porto Data</t>
    <phoneticPr fontId="1"/>
  </si>
  <si>
    <t>POPP1986</t>
    <phoneticPr fontId="1"/>
  </si>
  <si>
    <t>POPP1987</t>
    <phoneticPr fontId="1"/>
  </si>
  <si>
    <t>Pesos?</t>
    <phoneticPr fontId="1"/>
  </si>
  <si>
    <t>Pesos</t>
    <phoneticPr fontId="1"/>
  </si>
  <si>
    <t>Number</t>
    <phoneticPr fontId="1"/>
  </si>
  <si>
    <t>EDQM1997</t>
    <phoneticPr fontId="1"/>
  </si>
  <si>
    <t>Population (interpolated), 1974</t>
  </si>
  <si>
    <t>Population (interpolated), 1975</t>
  </si>
  <si>
    <t>Provincial public spending on general administration per capita, 2001 pesos, 1980</t>
  </si>
  <si>
    <t>Brisson</t>
    <phoneticPr fontId="1"/>
  </si>
  <si>
    <t>INDEC</t>
    <phoneticPr fontId="1"/>
  </si>
  <si>
    <t>Population (interpolated), 1972</t>
  </si>
  <si>
    <t>CEDI</t>
    <phoneticPr fontId="1"/>
  </si>
  <si>
    <t>UN 2000</t>
    <phoneticPr fontId="1"/>
  </si>
  <si>
    <t>Population (interpolated), 1973</t>
  </si>
  <si>
    <t>Public spending</t>
    <phoneticPr fontId="1"/>
  </si>
  <si>
    <t>Provincial public spending on health as a percentage of total provincial public spending, CONES, 1993</t>
    <phoneticPr fontId="1"/>
  </si>
  <si>
    <t>POPP1989</t>
    <phoneticPr fontId="1"/>
  </si>
  <si>
    <t>POPP1990</t>
    <phoneticPr fontId="1"/>
  </si>
  <si>
    <t>POPP1991</t>
    <phoneticPr fontId="1"/>
  </si>
  <si>
    <t>Sum of SPAPCP70, SPSPCP70, SPHPCP70, SPEPCP70, SPWPCP70, and SPDPCP70</t>
  </si>
  <si>
    <t xml:space="preserve"> United Nations (Argentine Office), "Organización y Gestión de los Servicios." Accessed June 5, 2001, at http://www.un.org.ar/salud.htm Original data: MSAS Nº 74/95 </t>
  </si>
  <si>
    <t>Porto</t>
    <phoneticPr fontId="1"/>
  </si>
  <si>
    <t>POPP1977</t>
    <phoneticPr fontId="1"/>
  </si>
  <si>
    <t>POPP1978</t>
    <phoneticPr fontId="1"/>
  </si>
  <si>
    <t>POPP1979</t>
    <phoneticPr fontId="1"/>
  </si>
  <si>
    <t>POPP1980</t>
    <phoneticPr fontId="1"/>
  </si>
  <si>
    <t>POPP1981</t>
    <phoneticPr fontId="1"/>
  </si>
  <si>
    <t>POPP1999</t>
    <phoneticPr fontId="1"/>
  </si>
  <si>
    <t>POPP2000</t>
    <phoneticPr fontId="1"/>
  </si>
  <si>
    <t>POPP2001</t>
    <phoneticPr fontId="1"/>
  </si>
  <si>
    <t>DENS1991</t>
    <phoneticPr fontId="1"/>
  </si>
  <si>
    <t>Porto, Alberto, Director (2004). Disparidades regionales y federalismo fiscal. La Plata, Argentina: Editorial de la Universidad de La Plata, p. 18. Accessed December 21, 2009, at http://www.depeco.econo.unlp.edu.ar/federalismo/default.htm</t>
    <phoneticPr fontId="1"/>
  </si>
  <si>
    <t>NSAN2001</t>
    <phoneticPr fontId="1"/>
  </si>
  <si>
    <t>SPPU97</t>
  </si>
  <si>
    <t>SPPR97</t>
  </si>
  <si>
    <t>SPTO97</t>
  </si>
  <si>
    <t>SPRA97</t>
  </si>
  <si>
    <t>PROMIN2000</t>
  </si>
  <si>
    <t>PNMI</t>
  </si>
  <si>
    <t>Population (interpolated), 1985</t>
  </si>
  <si>
    <t>Provincial public spending on health per capita, 2001 pesos, 2000</t>
  </si>
  <si>
    <t>Proportion of births in health facilities, 1994</t>
  </si>
  <si>
    <t>Population (interpolated), 1999</t>
  </si>
  <si>
    <t>Population (interpolated), 2000</t>
    <phoneticPr fontId="1"/>
  </si>
  <si>
    <t>Population (census), 2001</t>
    <phoneticPr fontId="1"/>
  </si>
  <si>
    <t>POPP1972</t>
    <phoneticPr fontId="1"/>
  </si>
  <si>
    <t>POPP1973</t>
    <phoneticPr fontId="1"/>
  </si>
  <si>
    <t>Provincial public spending on health as a percentage of total provincial public spending, CONES, 2001</t>
    <phoneticPr fontId="1"/>
  </si>
  <si>
    <t>CROW2001</t>
    <phoneticPr fontId="1"/>
  </si>
  <si>
    <t>ILLI1980</t>
    <phoneticPr fontId="1"/>
  </si>
  <si>
    <t>ILLI991</t>
    <phoneticPr fontId="1"/>
  </si>
  <si>
    <t>ILLI1996</t>
    <phoneticPr fontId="1"/>
  </si>
  <si>
    <t>Provincial public spending on health as a share of total provincial public spending, 1959</t>
    <phoneticPr fontId="1"/>
  </si>
  <si>
    <t>Estimaciones de Productos brutos provinciales basadas en el consumo residencial de energía eléctrica realizadas por María Cristina Mirabella de Sant y Federico Eugenio Nanni en el marco del programa 26/ F203 "Análisis Económico Regional y Nacional" del CIUNT [Consejo de Investigaciones de la Universidad Nacional de Tucumán]. April 2006. Accessed January 27, 2010, at http://www.face.unt.edu.ar/inveco/profesores/47/Estimaciones%20Productos%20brutos%20de%20pcias..xls</t>
    <phoneticPr fontId="1"/>
  </si>
  <si>
    <t>PREC2001</t>
    <phoneticPr fontId="1"/>
  </si>
  <si>
    <t>Illiteracy rate, 2001</t>
    <phoneticPr fontId="1"/>
  </si>
  <si>
    <t>2004</t>
    <phoneticPr fontId="1"/>
  </si>
  <si>
    <t>Health care deliv</t>
    <phoneticPr fontId="1"/>
  </si>
  <si>
    <t>GPPL1990</t>
  </si>
  <si>
    <t>GPPL1991</t>
  </si>
  <si>
    <t>Capital city name</t>
    <phoneticPr fontId="1"/>
  </si>
  <si>
    <t>capital</t>
    <phoneticPr fontId="1"/>
  </si>
  <si>
    <t>caplong</t>
    <phoneticPr fontId="1"/>
  </si>
  <si>
    <t>caplat</t>
    <phoneticPr fontId="1"/>
  </si>
  <si>
    <t>Provincial public spending on health as a share of total provincial public spending, 1970</t>
    <phoneticPr fontId="1"/>
  </si>
  <si>
    <t>SPTPCP70</t>
    <phoneticPr fontId="1"/>
  </si>
  <si>
    <t>Vote gap 1º vs. 2º</t>
    <phoneticPr fontId="1"/>
  </si>
  <si>
    <t>GPPL1992</t>
  </si>
  <si>
    <t>GPPL1993</t>
  </si>
  <si>
    <t>GPPL1994</t>
  </si>
  <si>
    <t>Provincial public spending on health as a share of total provincial public spending, 1980</t>
    <phoneticPr fontId="1"/>
  </si>
  <si>
    <t>Sum of SPAPCP91, SPSPCP91, SPHPCP91, SPEPCP91, SPWPCP91, and SPDPCP91</t>
  </si>
  <si>
    <t>Resistencia</t>
    <phoneticPr fontId="1"/>
  </si>
  <si>
    <t>Mean years school</t>
    <phoneticPr fontId="1"/>
  </si>
  <si>
    <t>Net 2º enrollment</t>
    <phoneticPr fontId="1"/>
  </si>
  <si>
    <t>Education Qual</t>
    <phoneticPr fontId="1"/>
  </si>
  <si>
    <t>Illiteracy</t>
    <phoneticPr fontId="1"/>
  </si>
  <si>
    <t>Santa Rosa</t>
    <phoneticPr fontId="1"/>
  </si>
  <si>
    <t>La Rioja</t>
    <phoneticPr fontId="1"/>
  </si>
  <si>
    <t>Mendoza</t>
    <phoneticPr fontId="1"/>
  </si>
  <si>
    <t>Posadas</t>
    <phoneticPr fontId="1"/>
  </si>
  <si>
    <t>SPTPCP80</t>
    <phoneticPr fontId="1"/>
  </si>
  <si>
    <t>Sum of SPAPCP80, SPSPCP80, SPHPCP80, SPEPCP80, SPWPCP80, and SPDPCP80</t>
  </si>
  <si>
    <t>SPHPCG00</t>
    <phoneticPr fontId="1"/>
  </si>
  <si>
    <t>http://www.heavens-above.com/selecttown.asp?CountryID=AR</t>
  </si>
  <si>
    <t>% of the seats in provincial deputy election going to the most-voted party or coalition, 2007</t>
  </si>
  <si>
    <t>Multiple by which votes for most-voted party exceeded votes for 2nd most-voted party, 1993</t>
  </si>
  <si>
    <t>Gogna, Mónica Coord.). Las reformas en el sector salud en la Argentina y Chile: Oportunidades y
obstáculos para la promoción de la salud sexual y reproductiva. Buenos Aires: Centro de Estudios de Estado y Sociedad, 2004, p. 43. Accessed February 1, 2010, at http://www.danielmaceira.com.ar/reformas_salud.pdf</t>
    <phoneticPr fontId="1"/>
  </si>
  <si>
    <t>% births not attend</t>
    <phoneticPr fontId="5" type="noConversion"/>
  </si>
  <si>
    <t>OSSYR 2010</t>
    <phoneticPr fontId="1"/>
  </si>
  <si>
    <t>BINI2007</t>
    <phoneticPr fontId="1"/>
  </si>
  <si>
    <t>Provincial public spending on health as a percentage of total provincial public spending, CONES, 1995</t>
    <phoneticPr fontId="1"/>
  </si>
  <si>
    <t>Provincial public spending on health as a percentage of total provincial public spending, CONES, 1999</t>
    <phoneticPr fontId="1"/>
  </si>
  <si>
    <t>Provincial public spending on health as a percentage of total provincial public spending, CONES, 2000</t>
    <phoneticPr fontId="1"/>
  </si>
  <si>
    <t>GPPL2000</t>
  </si>
  <si>
    <t>GPPL2001</t>
  </si>
  <si>
    <t>Calc. from Brissón, María Eugenia et al. (2001), "Políticas Sanitarias, situación de salud en las Provincias Argentinas y su relación con la equidad." Buenos Aires: Organización Panamericana de Salud / Fundación ISALUD, p. 28.</t>
  </si>
  <si>
    <t>Population</t>
    <phoneticPr fontId="1"/>
  </si>
  <si>
    <t>BIRTHS80</t>
    <phoneticPr fontId="1"/>
  </si>
  <si>
    <t>Population (interpolated), 1992</t>
  </si>
  <si>
    <t>GPPL2002</t>
    <phoneticPr fontId="1"/>
  </si>
  <si>
    <t>GPPL2003</t>
    <phoneticPr fontId="1"/>
  </si>
  <si>
    <t>GPPL2004</t>
    <phoneticPr fontId="1"/>
  </si>
  <si>
    <t>GPPL2005</t>
    <phoneticPr fontId="1"/>
  </si>
  <si>
    <t>GPPL1970</t>
  </si>
  <si>
    <t>Democracy</t>
    <phoneticPr fontId="1"/>
  </si>
  <si>
    <t>% of the seats in provincial deputy election going to the most-voted party or coalition, 1985</t>
  </si>
  <si>
    <t>Provincial public spending on health as a percentage of total provincial public spending, CONES, 1998</t>
    <phoneticPr fontId="1"/>
  </si>
  <si>
    <t>% of the seats in provincial deputy election going to the most-voted party or coalition, 1989</t>
  </si>
  <si>
    <t>% of the seats in provincial deputy election going to the most-voted party or coalition, 1991</t>
  </si>
  <si>
    <t>% of the seats in provincial deputy election going to the most-voted party or coalition, 1999</t>
  </si>
  <si>
    <t>Provincial public spending on health as a percentage of total provincial public spending, CONES, 1992</t>
    <phoneticPr fontId="1"/>
  </si>
  <si>
    <t>CONES</t>
    <phoneticPr fontId="1"/>
  </si>
  <si>
    <t>Provincial public spending on health as a percentage of total provincial public spending, Gogna, 1993</t>
    <phoneticPr fontId="1"/>
  </si>
  <si>
    <t>Provincial public spending on health per capita, 1999 pesos, Gogna, 2000</t>
    <phoneticPr fontId="1"/>
  </si>
  <si>
    <t>Provincial public spending on health as a percentage of total provincial public spending, Gogna, 2000</t>
    <phoneticPr fontId="1"/>
  </si>
  <si>
    <t>Proportion of births not attended by medical personnel, 2007</t>
    <phoneticPr fontId="1"/>
  </si>
  <si>
    <t>Democracy</t>
    <phoneticPr fontId="1"/>
  </si>
  <si>
    <t>Women in politics</t>
    <phoneticPr fontId="1"/>
  </si>
  <si>
    <t>SPTPCP59</t>
    <phoneticPr fontId="1"/>
  </si>
  <si>
    <t>U. del Litoral</t>
  </si>
  <si>
    <t>GPPL1971</t>
  </si>
  <si>
    <t>GPPL1972</t>
  </si>
  <si>
    <t>GPPL1973</t>
  </si>
  <si>
    <t>GPPL1974</t>
  </si>
  <si>
    <t>GPPL1975</t>
  </si>
  <si>
    <t>GPPL1976</t>
  </si>
  <si>
    <t>Turnout in provincial deputy election (votes divided by eligible voters), 2005</t>
    <phoneticPr fontId="5" type="noConversion"/>
  </si>
  <si>
    <t>Turnout in provincial deputy election (votes divided by eligible voters), 2007</t>
    <phoneticPr fontId="5" type="noConversion"/>
  </si>
  <si>
    <t>Vote % most-voted</t>
    <phoneticPr fontId="1"/>
  </si>
  <si>
    <t>GPPL1995</t>
  </si>
  <si>
    <t>GPPL1996</t>
  </si>
  <si>
    <t>GPPL1997</t>
  </si>
  <si>
    <t>GPPL1998</t>
  </si>
  <si>
    <t>GPPL1999</t>
  </si>
  <si>
    <t>Turnout in provincial deputy election (votes divided by eligible voters), 1989</t>
    <phoneticPr fontId="5" type="noConversion"/>
  </si>
  <si>
    <t>Turnout in provincial deputy election (votes divided by eligible voters), 1987</t>
    <phoneticPr fontId="5" type="noConversion"/>
  </si>
  <si>
    <t>Provincial public spending on health as a percentage of total provincial public spending, CONES, 1994</t>
    <phoneticPr fontId="1"/>
  </si>
  <si>
    <t>SPHPCG93</t>
    <phoneticPr fontId="1"/>
  </si>
  <si>
    <t>SPHSHG93</t>
    <phoneticPr fontId="1"/>
  </si>
  <si>
    <t>Multiple by which provincial deputy seats won by the most-voted party exceeded seats won by the 2nd most-voted party, 2007</t>
  </si>
  <si>
    <t>VOGA1999</t>
  </si>
  <si>
    <t>VOGA2001</t>
  </si>
  <si>
    <t>VOGA2003</t>
  </si>
  <si>
    <t>VOGA2005</t>
  </si>
  <si>
    <t>Turnout in provincial deputy election (votes divided by eligible voters), 2001</t>
    <phoneticPr fontId="5" type="noConversion"/>
  </si>
  <si>
    <t>Turnout in provincial deputy election (votes divided by eligible voters), 1993</t>
    <phoneticPr fontId="5" type="noConversion"/>
  </si>
  <si>
    <t>Multiple by which provincial deputy seats won by the most-voted party exceeded seats won by the 2nd most-voted party, 1985</t>
  </si>
  <si>
    <t>Multiple by which provincial deputy seats won by the most-voted party exceeded seats won by the 2nd most-voted party, 1987</t>
  </si>
  <si>
    <t>Multiple by which votes for most-voted party exceeded votes for 2nd most-voted party, 1983</t>
  </si>
  <si>
    <t>Multiple by which votes for most-voted party exceeded votes for 2nd most-voted party, 1989</t>
  </si>
  <si>
    <t>Multiple by which votes for most-voted party exceeded votes for 2nd most-voted party, 1991</t>
  </si>
  <si>
    <t>Multiple by which votes for most-voted party exceeded votes for 2nd most-voted party, 1995</t>
  </si>
  <si>
    <t>Multiple by which votes for most-voted party exceeded votes for 2nd most-voted party, 1997</t>
  </si>
  <si>
    <t>Multiple by which votes for most-voted party exceeded votes for 2nd most-voted party, 2001</t>
  </si>
  <si>
    <t>1970</t>
    <phoneticPr fontId="1"/>
  </si>
  <si>
    <t>2002</t>
    <phoneticPr fontId="1"/>
  </si>
  <si>
    <t>2003</t>
    <phoneticPr fontId="1"/>
  </si>
  <si>
    <t>Tow, Andy. Atlas Electoral de Andy Tow. Elecciones en la Argentina desde 1983. Accessed January 2010 at http://www.towsa.com/andy/totalpais/index.html</t>
  </si>
  <si>
    <t>Provincial public spending on health as a percentage of total provincial public spending, CONES, 1997</t>
    <phoneticPr fontId="1"/>
  </si>
  <si>
    <t>Longitude of provincial capital</t>
  </si>
  <si>
    <t>% of the seats in provincial deputy election going to the most-voted party or coalition, 1983</t>
  </si>
  <si>
    <t>% of votes in provincial deputy election going to the most-voted party or coalition, 1985</t>
    <phoneticPr fontId="1"/>
  </si>
  <si>
    <t>% of votes in provincial deputy election going to the most-voted party or coalition, 1989</t>
  </si>
  <si>
    <t>% of votes in provincial deputy election going to the most-voted party or coalition, 1991</t>
  </si>
  <si>
    <t>% of votes in provincial deputy election going to the most-voted party or coalition, 1993</t>
  </si>
  <si>
    <t>% of the seats in provincial deputy election going to the most-voted party or coalition, 2005</t>
  </si>
  <si>
    <t>% of the seats in provincial deputy election going to the most-voted party or coalition, 2001</t>
  </si>
  <si>
    <t>% of the seats in provincial deputy election going to the most-voted party or coalition, 2003</t>
  </si>
  <si>
    <t>Provincial public spending on health as a percentage of total provincial public spending, CONES, 1996</t>
    <phoneticPr fontId="1"/>
  </si>
  <si>
    <t>Provincial public spending per capita, 2001 pesos, Porto, 1991</t>
  </si>
  <si>
    <t>Provincial public spending on health as a share of total provincial public spending, 1991</t>
  </si>
  <si>
    <t>SPTPCP91</t>
  </si>
  <si>
    <t>Provincial public spending per capita, 2001 pesos, Porto, 2000</t>
  </si>
  <si>
    <t>Martínez 2010</t>
    <phoneticPr fontId="1"/>
  </si>
  <si>
    <t>Multiple by which provincial deputy seats won by the most-voted party exceeded seats won by the 2nd most-voted party, 1997</t>
  </si>
  <si>
    <t>Percentage of national deputy seats held by women, 2005/07</t>
    <phoneticPr fontId="1"/>
  </si>
  <si>
    <t>% of votes in provincial deputy election going to the most-voted party or coalition, 1999</t>
  </si>
  <si>
    <t>Multiple by which provincial deputy seats won by the most-voted party exceeded seats won by the 2nd most-voted party, 2001</t>
  </si>
  <si>
    <t>Latitude of provincial capital</t>
  </si>
  <si>
    <t>Multiple by which votes for most-voted party exceeded votes for 2nd most-voted party, 1999</t>
  </si>
  <si>
    <t>Turnout in provincial deputy election (votes divided by eligible voters), 1997</t>
    <phoneticPr fontId="5" type="noConversion"/>
  </si>
  <si>
    <t>VOGA1983</t>
  </si>
  <si>
    <t>VOGA1985</t>
  </si>
  <si>
    <t>VOGA1987</t>
  </si>
  <si>
    <t>Multiple by which provincial deputy seats won by the most-voted party exceeded seats won by the 2nd most-voted party, 2005</t>
  </si>
  <si>
    <t>Date of provincial deputy election, 1987</t>
    <phoneticPr fontId="1"/>
  </si>
  <si>
    <t>Date of provincial deputy election, 1989</t>
    <phoneticPr fontId="1"/>
  </si>
  <si>
    <t>VOGA2007</t>
  </si>
  <si>
    <t>SESH1983</t>
  </si>
  <si>
    <t>SESH1985</t>
  </si>
  <si>
    <t>SESH1987</t>
  </si>
  <si>
    <t>SESH1989</t>
  </si>
  <si>
    <t>SESH1991</t>
  </si>
  <si>
    <t>SESH1993</t>
  </si>
  <si>
    <t>SESH1995</t>
  </si>
  <si>
    <t>SESH1997</t>
  </si>
  <si>
    <t>SESH1999</t>
  </si>
  <si>
    <t>SESH2001</t>
  </si>
  <si>
    <t>SESH2003</t>
  </si>
  <si>
    <t>SESH2005</t>
  </si>
  <si>
    <t>SESH2007</t>
  </si>
  <si>
    <t>SEGA1983</t>
  </si>
  <si>
    <t>SEGA1985</t>
  </si>
  <si>
    <t>SEGA1987</t>
  </si>
  <si>
    <t>SEGA1989</t>
  </si>
  <si>
    <t>SEGA1991</t>
  </si>
  <si>
    <t>SEGA1993</t>
  </si>
  <si>
    <t>SEGA1995</t>
  </si>
  <si>
    <t>SEGA1997</t>
  </si>
  <si>
    <t>SEGA1999</t>
  </si>
  <si>
    <t>SEGA2001</t>
  </si>
  <si>
    <t>SEGA2003</t>
  </si>
  <si>
    <t>Turnout in provincial deputy election (votes divided by eligible voters), 1999</t>
    <phoneticPr fontId="5" type="noConversion"/>
  </si>
  <si>
    <t>Observatorio de Salud Sexual y Reproductivo (2010). Porcentajes de nacidos vivos atendidos por personal capacitado según jurisdicción de residencia de la madre. Provincias de Argentina, 2007. Accessed February 1, 2010, at http://www.ossyr.org.ar/sala/5_partos_personal_capac_nac_vivos.asp</t>
  </si>
  <si>
    <t>% of the seats in provincial deputy election going to the most-voted party or coalition, 1987</t>
  </si>
  <si>
    <t>Date of provincial deputy election, 1993</t>
    <phoneticPr fontId="1"/>
  </si>
  <si>
    <t>Date of provincial deputy election, 1997</t>
    <phoneticPr fontId="1"/>
  </si>
  <si>
    <t>(15 Sep 2002)</t>
    <phoneticPr fontId="1"/>
  </si>
  <si>
    <t>% of the seats in provincial deputy election going to the most-voted party or coalition, 1993</t>
  </si>
  <si>
    <t>% of the seats in provincial deputy election going to the most-voted party or coalition, 1997</t>
  </si>
  <si>
    <t>Date of provincial deputy election, 1991</t>
    <phoneticPr fontId="1"/>
  </si>
  <si>
    <t>% of votes in provincial deputy election going to the most-voted party or coalition, 1987</t>
    <phoneticPr fontId="1"/>
  </si>
  <si>
    <t>Multiple by which votes for most-voted party exceeded votes for 2nd most-voted party, 2003</t>
  </si>
  <si>
    <t>Turnout in provincial deputy election (votes divided by eligible voters), 1991</t>
    <phoneticPr fontId="5" type="noConversion"/>
  </si>
  <si>
    <t>Multiple by which votes for most-voted party exceeded votes for 2nd most-voted party, 2007</t>
  </si>
  <si>
    <t>Tow</t>
    <phoneticPr fontId="1"/>
  </si>
  <si>
    <t>Date of provincial deputy election, 2003</t>
    <phoneticPr fontId="1"/>
  </si>
  <si>
    <t>Bicameralism</t>
    <phoneticPr fontId="1"/>
  </si>
  <si>
    <t>Bicameral</t>
  </si>
  <si>
    <t>Bicameral</t>
    <phoneticPr fontId="1"/>
  </si>
  <si>
    <t>Unicameral</t>
    <phoneticPr fontId="1"/>
  </si>
  <si>
    <t>Is the provincial legislature bicameral or unicameral?</t>
    <phoneticPr fontId="1"/>
  </si>
  <si>
    <t>Multiple by which provincial deputy seats won by the most-voted party exceeded seats won by the 2nd most-voted party, 1995</t>
  </si>
  <si>
    <t>VOSH1991</t>
  </si>
  <si>
    <t>Multiple by which provincial deputy seats won by the most-voted party exceeded seats won by the 2nd most-voted party, 1999</t>
  </si>
  <si>
    <t>Turnout in provincial deputy election (votes divided by eligible voters), 1995</t>
    <phoneticPr fontId="5" type="noConversion"/>
  </si>
  <si>
    <t>Percentage of national deputy seats held by women, 2003/2005</t>
    <phoneticPr fontId="1"/>
  </si>
  <si>
    <t>Percentage of national deputy seats held by women, 1991/93</t>
    <phoneticPr fontId="1"/>
  </si>
  <si>
    <t>Percentage of national deputy seats held by women, 1993/95</t>
    <phoneticPr fontId="1"/>
  </si>
  <si>
    <t>Percentage of national deputy seats held by women, 1995/97</t>
    <phoneticPr fontId="1"/>
  </si>
  <si>
    <t>Atlas Electoral de Andy Tow. Accessed March 20, 2011, at http://towsa.com/andy/totalpais/</t>
    <phoneticPr fontId="1"/>
  </si>
  <si>
    <t>1983</t>
    <phoneticPr fontId="1"/>
  </si>
  <si>
    <t>1985</t>
    <phoneticPr fontId="1"/>
  </si>
  <si>
    <t>1987</t>
    <phoneticPr fontId="1"/>
  </si>
  <si>
    <t>1989</t>
    <phoneticPr fontId="1"/>
  </si>
  <si>
    <t>VOSH1993</t>
  </si>
  <si>
    <t>VOSH1995</t>
  </si>
  <si>
    <t>VOSH1997</t>
  </si>
  <si>
    <t>VOSH1999</t>
  </si>
  <si>
    <t>VOSH2001</t>
  </si>
  <si>
    <t>VOSH2003</t>
  </si>
  <si>
    <t>VOSH2005</t>
  </si>
  <si>
    <t>VOSH2007</t>
  </si>
  <si>
    <t>% of votes in provincial deputy election going to the most-voted party or coalition, 2007</t>
  </si>
  <si>
    <t>VOSH1989</t>
  </si>
  <si>
    <t>Date of provincial deputy election, 1985</t>
    <phoneticPr fontId="1"/>
  </si>
  <si>
    <t>Multiple by which provincial deputy seats won by the most-voted party exceeded seats won by the 2nd most-voted party, 1993</t>
  </si>
  <si>
    <t>Multiple by which votes for most-voted party exceeded votes for 2nd most-voted party, 1985</t>
  </si>
  <si>
    <t>Multiple by which votes for most-voted party exceeded votes for 2nd most-voted party, 1987</t>
  </si>
  <si>
    <t>IMR07</t>
    <phoneticPr fontId="1"/>
  </si>
  <si>
    <t>IMR08</t>
    <phoneticPr fontId="1"/>
  </si>
  <si>
    <t>IMR09</t>
    <phoneticPr fontId="1"/>
  </si>
  <si>
    <t>2008</t>
    <phoneticPr fontId="1"/>
  </si>
  <si>
    <t>Democracy</t>
    <phoneticPr fontId="1"/>
  </si>
  <si>
    <t>PROVELDATE83</t>
    <phoneticPr fontId="1"/>
  </si>
  <si>
    <t>PROVELDATE85</t>
    <phoneticPr fontId="1"/>
  </si>
  <si>
    <t>PROVELDATE87</t>
    <phoneticPr fontId="1"/>
  </si>
  <si>
    <t>SEGA2005</t>
  </si>
  <si>
    <t>SEGA2007</t>
  </si>
  <si>
    <t>PERO1983</t>
  </si>
  <si>
    <t>PERO1985</t>
  </si>
  <si>
    <t>PERO1987</t>
  </si>
  <si>
    <t>PERO1989</t>
  </si>
  <si>
    <t>PERO1991</t>
  </si>
  <si>
    <t>PERO1993</t>
  </si>
  <si>
    <t>PERO1995</t>
  </si>
  <si>
    <t>PERO1997</t>
  </si>
  <si>
    <t>PERO1999</t>
  </si>
  <si>
    <t>PERO2001</t>
  </si>
  <si>
    <t>Turnout in provincial deputy election (votes divided by eligible voters), 2003</t>
    <phoneticPr fontId="5" type="noConversion"/>
  </si>
  <si>
    <t>Seat % most-voted</t>
    <phoneticPr fontId="1"/>
  </si>
  <si>
    <t>Seat gap 1º vs. 2º</t>
    <phoneticPr fontId="1"/>
  </si>
  <si>
    <t>Peronist plurality</t>
    <phoneticPr fontId="1"/>
  </si>
  <si>
    <t>Date of provincial deputy election, 1995</t>
    <phoneticPr fontId="1"/>
  </si>
  <si>
    <t>Date of provincial deputy election, 2005</t>
    <phoneticPr fontId="1"/>
  </si>
  <si>
    <t>Date of provincial deputy election, 2007</t>
    <phoneticPr fontId="1"/>
  </si>
  <si>
    <t>% of the seats in provincial deputy election going to the most-voted party or coalition, 1995</t>
  </si>
  <si>
    <t>1997</t>
    <phoneticPr fontId="1"/>
  </si>
  <si>
    <t>Date of provincial deputy election, 1983</t>
    <phoneticPr fontId="1"/>
  </si>
  <si>
    <t>PERO2005</t>
  </si>
  <si>
    <t>PERO2007</t>
  </si>
  <si>
    <t>VOSH1983</t>
  </si>
  <si>
    <t>VOSH1985</t>
  </si>
  <si>
    <t>VOSH1987</t>
  </si>
  <si>
    <t>VOGA1997</t>
  </si>
  <si>
    <t>Capital city</t>
  </si>
  <si>
    <t>PERO2003</t>
  </si>
  <si>
    <t>Marx et al. 2007</t>
    <phoneticPr fontId="1"/>
  </si>
  <si>
    <t>Percentage of national deputy seats held by women, 1983/85</t>
    <phoneticPr fontId="1"/>
  </si>
  <si>
    <t>Andy Tow</t>
    <phoneticPr fontId="1"/>
  </si>
  <si>
    <t>Multiple by which votes for most-voted party exceeded votes for 2nd most-voted party, 2005</t>
  </si>
  <si>
    <t>Marx, Jutta, Jutta Borner, and Mariana Caminotti. Las legisladoras: Cupos de género y política en Argentina y Brasil. Buenos Aires: Siglo XX1 Editora Iberoamericana, 2007, p. 85, Tabla 3: Participación de mujeres en la Cámara de Diputados por distrito electoral (En porcentajes)</t>
  </si>
  <si>
    <t>Election date</t>
    <phoneticPr fontId="1"/>
  </si>
  <si>
    <t>Date of provincial deputy election, 1999</t>
    <phoneticPr fontId="1"/>
  </si>
  <si>
    <t>2001</t>
    <phoneticPr fontId="1"/>
  </si>
  <si>
    <t>2003</t>
    <phoneticPr fontId="1"/>
  </si>
  <si>
    <t>Calculated from Tow, Andy. Atlas Electoral de Andy Tow. Elecciones en la Argentina desde 1983. Accessed January 2010 at http://www.towsa.com/andy/totalpais/index.html</t>
    <phoneticPr fontId="5" type="noConversion"/>
  </si>
  <si>
    <t>James McGuire's interpretation of data furnished in Tow, Andy. Atlas Electoral de Andy Tow. Elecciones en la Argentina desde 1983. Accessed January 2010 at http://www.towsa.com/andy/totalpais/index.html</t>
    <phoneticPr fontId="5" type="noConversion"/>
  </si>
  <si>
    <t>% of votes in provincial deputy election going to the most-voted party or coalition, 1995</t>
  </si>
  <si>
    <t>Multiple by which provincial deputy seats won by the most-voted party exceeded seats won by the 2nd most-voted party, 1989</t>
  </si>
  <si>
    <t>Multiple by which provincial deputy seats won by the most-voted party exceeded seats won by the 2nd most-voted party, 1991</t>
  </si>
  <si>
    <t>Multiple by which provincial deputy seats won by the most-voted party exceeded seats won by the 2nd most-voted party, 1983</t>
  </si>
  <si>
    <t>% of votes in provincial deputy election going to the most-voted party or coalition, 1997</t>
  </si>
  <si>
    <t>(30 Nov 08)</t>
    <phoneticPr fontId="1"/>
  </si>
  <si>
    <t>Women in politics</t>
    <phoneticPr fontId="1"/>
  </si>
  <si>
    <t>2005</t>
    <phoneticPr fontId="1"/>
  </si>
  <si>
    <t>2007</t>
    <phoneticPr fontId="1"/>
  </si>
  <si>
    <r>
      <t xml:space="preserve">"Cantidad de bancas ocupadas por mujeres y presencia femenina en cargos parlamentarios del poder legislativo nacional y provincial. Años 1999 y 2001." Data associated with Argentina. INDEC and UNICEF, </t>
    </r>
    <r>
      <rPr>
        <i/>
        <sz val="9"/>
        <color indexed="8"/>
        <rFont val="Times New Roman"/>
        <family val="1"/>
      </rPr>
      <t>Situación y Evolución de las Mujeres en la Argentina - Indicadores Seleccionados</t>
    </r>
    <r>
      <rPr>
        <sz val="9"/>
        <color indexed="8"/>
        <rFont val="Times New Roman"/>
        <family val="1"/>
      </rPr>
      <t xml:space="preserve">. </t>
    </r>
    <r>
      <rPr>
        <sz val="9"/>
        <rFont val="Times New Roman"/>
        <family val="1"/>
      </rPr>
      <t>Accessed March 17, 2011, at www.indec.gov.ar/nuevaweb/cuadros/2/Mujerescuadro28.xls</t>
    </r>
  </si>
  <si>
    <t>% of votes in provincial deputy election going to the most-voted party or coalition, 2003</t>
  </si>
  <si>
    <t>% of votes in provincial deputy election going to the most-voted party or coalition, 2005</t>
  </si>
  <si>
    <t>INDEC n.d.</t>
    <phoneticPr fontId="1"/>
  </si>
  <si>
    <t>1991</t>
    <phoneticPr fontId="1"/>
  </si>
  <si>
    <t>1993</t>
    <phoneticPr fontId="1"/>
  </si>
  <si>
    <t>1995</t>
    <phoneticPr fontId="1"/>
  </si>
  <si>
    <t>1999</t>
    <phoneticPr fontId="1"/>
  </si>
  <si>
    <t>2003</t>
    <phoneticPr fontId="1"/>
  </si>
  <si>
    <t>Percentage of national deputy seats held by women, 1997/99</t>
    <phoneticPr fontId="1"/>
  </si>
  <si>
    <t>Percentage of national deputy seats held by women, 1999/2001</t>
    <phoneticPr fontId="1"/>
  </si>
  <si>
    <t>Percentage of national deputy seats held by women, 2001/03</t>
    <phoneticPr fontId="1"/>
  </si>
  <si>
    <t>Number of provincial legislative seats (both houses combined if bicameral) on July 10, 2002</t>
    <phoneticPr fontId="1"/>
  </si>
  <si>
    <t>2001</t>
    <phoneticPr fontId="1"/>
  </si>
  <si>
    <t>% of votes in provincial deputy election going to the most-voted party or coalition, 2001</t>
  </si>
  <si>
    <t>VOGA1989</t>
  </si>
  <si>
    <t>VOGA1991</t>
  </si>
  <si>
    <t>VOGA1993</t>
  </si>
  <si>
    <t>VOGA1995</t>
  </si>
  <si>
    <t>PROVSEATST01</t>
    <phoneticPr fontId="1"/>
  </si>
  <si>
    <t>As of July 31, 2008. Compiled by James W. McGuire using names of deputies from each provinces. Source: Argentina. Ministerio del Interior, Dirección Nacional Electoral, "Composición Camara de Diputados Periodos 2005-2009 y 2009-2011." Accessed March 21, 2011, at http://www.elecciones2009.gov.ar/informacion/pdf/CAM_DIP_2005-2009_2007-2011.pdf</t>
    <phoneticPr fontId="1"/>
  </si>
  <si>
    <t>Number of total unicameral or lower-house legislative seats on the basis of which the percent female in the provincial legislature was calculated</t>
    <phoneticPr fontId="1"/>
  </si>
  <si>
    <t>1991-2007</t>
    <phoneticPr fontId="1"/>
  </si>
  <si>
    <t>Lubertino 2003</t>
    <phoneticPr fontId="1"/>
  </si>
  <si>
    <t>Estimaciones de Productos brutos provinciales basadas en el consumo residencial de energía eléctrica realizadas por María Cristina Mirabella de Sant y Federico Eugenio Nanni en el marco del programa 26/ F203 "Análisis Económico Regional y Nacional" del CIUNT [Consejo de Investigaciones de la Universidad Nacional de Tucumán]. April 2006. Accessed January 27, 2010, at http://www.face.unt.edu.ar/inveco/profesores/47/Estimaciones%20Productos%20brutos%20de%20pcias..xls</t>
    <phoneticPr fontId="1"/>
  </si>
  <si>
    <t>Calculated from Tow, Andy. Atlas Electoral de Andy Tow. Elecciones en la Argentina desde 1983. Accessed January 2010 at http://www.towsa.com/andy/totalpais/index.html</t>
    <phoneticPr fontId="5" type="noConversion"/>
  </si>
  <si>
    <t>Date of provincial deputy election, 2009</t>
    <phoneticPr fontId="1"/>
  </si>
  <si>
    <t>1994 Sep</t>
    <phoneticPr fontId="1"/>
  </si>
  <si>
    <r>
      <t xml:space="preserve">Calculated from Argentina. Ministerio de Salud. Dirección de Estadística e Información de Salud (2004). </t>
    </r>
    <r>
      <rPr>
        <u/>
        <sz val="9"/>
        <rFont val="Times New Roman"/>
        <family val="1"/>
      </rPr>
      <t>Estadísticas vitales. Información basica - 2003</t>
    </r>
    <r>
      <rPr>
        <sz val="9"/>
        <rFont val="Times New Roman"/>
        <family val="1"/>
      </rPr>
      <t>. Serie 5 No. 47. Diciembre 2004. Buenos Aires: Ministerio de Salud. Tabla 16, Nacidos vivos registrados según local de ocurrencia, Año 2003 (p. 19).</t>
    </r>
    <phoneticPr fontId="1"/>
  </si>
  <si>
    <r>
      <t xml:space="preserve">Calculated from Argentina. Ministerio de Salud. Dirección de Estadística e Información de Salud (2003). </t>
    </r>
    <r>
      <rPr>
        <u/>
        <sz val="9"/>
        <rFont val="Times New Roman"/>
        <family val="1"/>
      </rPr>
      <t>Estadísticas vitales. Información basica - 2002</t>
    </r>
    <r>
      <rPr>
        <sz val="9"/>
        <rFont val="Times New Roman"/>
        <family val="1"/>
      </rPr>
      <t>. Serie 5 No. 46. Diciembre 2003. Buenos Aires: Ministerio de Salud. Tabla 15, Nacidos vivos registrados según local de ocurrencia, Año 2002 (p. 20).</t>
    </r>
    <phoneticPr fontId="1"/>
  </si>
  <si>
    <t>Date of provincial deputy election, 2001</t>
    <phoneticPr fontId="1"/>
  </si>
  <si>
    <t>2007</t>
    <phoneticPr fontId="1"/>
  </si>
  <si>
    <t>Instituto Social y Poítico de la Mujer, "Mujeres en Lugares de Decisión en Argentina." Accessed March 18, 2011, at http://www.ispm.org.ar/casos_datos_equidad.html</t>
    <phoneticPr fontId="1"/>
  </si>
  <si>
    <t>PROVLEG%F01</t>
    <phoneticPr fontId="1"/>
  </si>
  <si>
    <t>PROVLEG%F99</t>
    <phoneticPr fontId="1"/>
  </si>
  <si>
    <t>PROVLEGCHAMB</t>
    <phoneticPr fontId="1"/>
  </si>
  <si>
    <t>PROVELDATE89</t>
    <phoneticPr fontId="1"/>
  </si>
  <si>
    <t>PROVELDATE91</t>
    <phoneticPr fontId="1"/>
  </si>
  <si>
    <t>PROVELDATE93</t>
    <phoneticPr fontId="1"/>
  </si>
  <si>
    <t>PROVELDATE95</t>
    <phoneticPr fontId="1"/>
  </si>
  <si>
    <t>PROVELDATE97</t>
    <phoneticPr fontId="1"/>
  </si>
  <si>
    <t>PROVELDATE99</t>
    <phoneticPr fontId="1"/>
  </si>
  <si>
    <t>PROVELDATE01</t>
    <phoneticPr fontId="1"/>
  </si>
  <si>
    <t>PROVELDATE03</t>
    <phoneticPr fontId="1"/>
  </si>
  <si>
    <t>PROVELDATE05</t>
    <phoneticPr fontId="1"/>
  </si>
  <si>
    <t>PROVELDATE07</t>
    <phoneticPr fontId="1"/>
  </si>
  <si>
    <t>Piscopo 2010</t>
    <phoneticPr fontId="1"/>
  </si>
  <si>
    <t>Number of females holding provincial legislative seats (both houses combined if bicameral) on December 10, 2009</t>
    <phoneticPr fontId="1"/>
  </si>
  <si>
    <t>Number of females holding provincial legislative seats (both houses combined if bicameral) on July 10, 2002</t>
    <phoneticPr fontId="1"/>
  </si>
  <si>
    <t>2003</t>
    <phoneticPr fontId="1"/>
  </si>
  <si>
    <t>Percentage of females holding provincial legislative seats (both houses combined if bicameral) on December 10, 2009</t>
    <phoneticPr fontId="1"/>
  </si>
  <si>
    <t>Percentage of females holding provincial legislative seats (both houses combined if bicameral) on July 10, 2002</t>
    <phoneticPr fontId="1"/>
  </si>
  <si>
    <t>Month in which the province adopted a gender quota</t>
    <phoneticPr fontId="1"/>
  </si>
  <si>
    <t>PROVSEATSF99</t>
    <phoneticPr fontId="1"/>
  </si>
  <si>
    <t>1994 Mar</t>
    <phoneticPr fontId="1"/>
  </si>
  <si>
    <t>1997 Jul</t>
    <phoneticPr fontId="1"/>
  </si>
  <si>
    <t>1996 const reform?</t>
    <phoneticPr fontId="1"/>
  </si>
  <si>
    <t>1995 Nov</t>
    <phoneticPr fontId="1"/>
  </si>
  <si>
    <t>MWH90</t>
  </si>
  <si>
    <t>MWH91</t>
  </si>
  <si>
    <t>MWH92</t>
  </si>
  <si>
    <t>INDEC, Dirección Nacional de Estadísticas Sociales y de Población, Dirección de Estadísticas Sectoriales en base a información suministrada por el Ministerio de Salud y Ambiente de la Nación, Dirección de Estadísticas e Información de Salud (DEIS). Accessed December 16, 2009, at http://www.estadistica.chubut.gov.ar/Indic-SocioDemograficos/salud/sesd_04c05.xls</t>
    <phoneticPr fontId="1"/>
  </si>
  <si>
    <t>PROVSEATSF01</t>
    <phoneticPr fontId="1"/>
  </si>
  <si>
    <t>ISPM 2011</t>
    <phoneticPr fontId="1"/>
  </si>
  <si>
    <t>Camin Pisco 2010</t>
    <phoneticPr fontId="1"/>
  </si>
  <si>
    <t>CNM</t>
    <phoneticPr fontId="1"/>
  </si>
  <si>
    <t>Women in politics</t>
    <phoneticPr fontId="1"/>
  </si>
  <si>
    <t>Residential electricity consumpton billed, in MWh, 1975</t>
    <phoneticPr fontId="1"/>
  </si>
  <si>
    <t>Residential electricity consumpton billed, in MWh, 1976</t>
    <phoneticPr fontId="1"/>
  </si>
  <si>
    <r>
      <t xml:space="preserve">"Cantidad de bancas ocupadas por mujeres y presencia femenina en cargos parlamentarios del poder legislativo nacional y provincial. Años 1999 y 2001." Data associated with Argentina. INDEC and UNICEF, </t>
    </r>
    <r>
      <rPr>
        <i/>
        <sz val="9"/>
        <color indexed="8"/>
        <rFont val="Times New Roman"/>
        <family val="1"/>
      </rPr>
      <t>Situación y Evolución de las Mujeres en la Argentina - Indicadores Seleccionados</t>
    </r>
    <r>
      <rPr>
        <sz val="9"/>
        <color indexed="8"/>
        <rFont val="Times New Roman"/>
        <family val="1"/>
      </rPr>
      <t xml:space="preserve">. </t>
    </r>
    <r>
      <rPr>
        <sz val="9"/>
        <rFont val="Times New Roman"/>
        <family val="1"/>
      </rPr>
      <t>Accessed March 17, 2011, at www.indec.gov.ar/nuevaweb/cuadros/2/Mujerescuadro28.xls</t>
    </r>
    <phoneticPr fontId="1"/>
  </si>
  <si>
    <t>Multiple by which provincial deputy seats won by the most-voted party exceeded seats won by the 2nd most-voted party, 2003</t>
  </si>
  <si>
    <t>Women as a percentage of provincial deputies</t>
    <phoneticPr fontId="1"/>
  </si>
  <si>
    <t>Women as a percentage of provincial deputies and provincial senators as of October 2008</t>
    <phoneticPr fontId="1"/>
  </si>
  <si>
    <t>Women as a percentage of provincial deputies as of August 2007</t>
    <phoneticPr fontId="1"/>
  </si>
  <si>
    <t>Women as a percentage of provincial deputies as of 10 December 2003</t>
    <phoneticPr fontId="1"/>
  </si>
  <si>
    <r>
      <t xml:space="preserve">Calculated from Argentina. Ministerio de Salud. Dirección de Estadística e Información de Salud (2001). </t>
    </r>
    <r>
      <rPr>
        <u/>
        <sz val="9"/>
        <rFont val="Times New Roman"/>
        <family val="1"/>
      </rPr>
      <t>Estadísticas vitales - Información basica Año 2000</t>
    </r>
    <r>
      <rPr>
        <sz val="9"/>
        <rFont val="Times New Roman"/>
        <family val="1"/>
      </rPr>
      <t>. Diciembre de 2001. Buenos Aires: Ministerio de Salud. Tabla 15, Nacidos vivos registrados según local de ocurrencia, Año 2000 (p. 19).</t>
    </r>
    <phoneticPr fontId="1"/>
  </si>
  <si>
    <t>2006</t>
    <phoneticPr fontId="1"/>
  </si>
  <si>
    <t>2007</t>
    <phoneticPr fontId="1"/>
  </si>
  <si>
    <t>2008</t>
    <phoneticPr fontId="1"/>
  </si>
  <si>
    <t>2009</t>
    <phoneticPr fontId="1"/>
  </si>
  <si>
    <t>KWHPC74</t>
  </si>
  <si>
    <t>KWHPC75</t>
  </si>
  <si>
    <t>KWHPC76</t>
  </si>
  <si>
    <t>KWHPC77</t>
  </si>
  <si>
    <t>KWHPC78</t>
  </si>
  <si>
    <t>KWHPC79</t>
  </si>
  <si>
    <t>KWHPC80</t>
  </si>
  <si>
    <t>KWHPC81</t>
  </si>
  <si>
    <t>KWHPC82</t>
  </si>
  <si>
    <t>KWHPC83</t>
  </si>
  <si>
    <t>KWHPC84</t>
  </si>
  <si>
    <t>KWHPC85</t>
  </si>
  <si>
    <t>KWHPC86</t>
  </si>
  <si>
    <t>KWHPC87</t>
  </si>
  <si>
    <t>KWHPC88</t>
  </si>
  <si>
    <t>KWHPC89</t>
  </si>
  <si>
    <t>KWHPC90</t>
  </si>
  <si>
    <t>KWHPC91</t>
  </si>
  <si>
    <t>KWHPC92</t>
  </si>
  <si>
    <t>KWHPC93</t>
  </si>
  <si>
    <t>KWHPC94</t>
  </si>
  <si>
    <t>KWHPC95</t>
  </si>
  <si>
    <t>KWHPC96</t>
  </si>
  <si>
    <t>KWHPC97</t>
  </si>
  <si>
    <t>KWHPC98</t>
  </si>
  <si>
    <t>Residential electricity consumpton billed, in MWh, 1980</t>
  </si>
  <si>
    <t>Marx, Jutta, Jutta Borner, and Mariana Caminotti. Las legisladoras: Cupos de género y política en Argentina y Brasil. Buenos Aires: Siglo XX1 Editora Iberoamericana, 2007, p. 85, Tabla 3: Participación de mujeres en la Cámara de Diputados por distrito electoral (En porcentajes)</t>
    <phoneticPr fontId="1"/>
  </si>
  <si>
    <t>1998 Jul</t>
    <phoneticPr fontId="1"/>
  </si>
  <si>
    <t>1992 May</t>
    <phoneticPr fontId="1"/>
  </si>
  <si>
    <t>1992 Nov</t>
    <phoneticPr fontId="1"/>
  </si>
  <si>
    <t>1997 Mar</t>
    <phoneticPr fontId="1"/>
  </si>
  <si>
    <t>PROVDEP%F91P</t>
    <phoneticPr fontId="1"/>
  </si>
  <si>
    <t>1991</t>
    <phoneticPr fontId="1"/>
  </si>
  <si>
    <t>1993</t>
    <phoneticPr fontId="1"/>
  </si>
  <si>
    <t>1995</t>
    <phoneticPr fontId="1"/>
  </si>
  <si>
    <t>PROVELDATE09</t>
    <phoneticPr fontId="1"/>
  </si>
  <si>
    <t>2005</t>
    <phoneticPr fontId="1"/>
  </si>
  <si>
    <t>1994 Oct</t>
    <phoneticPr fontId="1"/>
  </si>
  <si>
    <t>1995 Jan</t>
    <phoneticPr fontId="1"/>
  </si>
  <si>
    <t>1993 Jun</t>
    <phoneticPr fontId="1"/>
  </si>
  <si>
    <t>Residential electricity consumpton billed, in MWh, 1971</t>
    <phoneticPr fontId="1"/>
  </si>
  <si>
    <t>Residential electricity consumpton billed, in MWh, 1972</t>
    <phoneticPr fontId="1"/>
  </si>
  <si>
    <t>Residential electricity consumpton billed, in MWh, 1973</t>
    <phoneticPr fontId="1"/>
  </si>
  <si>
    <t>Residential electricity consumpton billed, in MWh, 1974</t>
    <phoneticPr fontId="1"/>
  </si>
  <si>
    <t>Residential electricity consumpton billed, in MWh, 2002</t>
  </si>
  <si>
    <t>KWHPC99</t>
  </si>
  <si>
    <t>KWHPC00</t>
  </si>
  <si>
    <t>KWHPC01</t>
  </si>
  <si>
    <t>KWHPC02</t>
  </si>
  <si>
    <t>KWHPC03</t>
  </si>
  <si>
    <t>KWHPC04</t>
  </si>
  <si>
    <t>KWHPC05</t>
  </si>
  <si>
    <t>Residential electricity consumpton billed, in MWh, 2008</t>
  </si>
  <si>
    <r>
      <t xml:space="preserve">Calculated from Argentina. Ministerio de Salud. Dirección de Estadística e Información de Salud (2007). </t>
    </r>
    <r>
      <rPr>
        <u/>
        <sz val="9"/>
        <rFont val="Times New Roman"/>
        <family val="1"/>
      </rPr>
      <t>Estadísticas vitales. Información basica - 2006</t>
    </r>
    <r>
      <rPr>
        <sz val="9"/>
        <rFont val="Times New Roman"/>
        <family val="1"/>
      </rPr>
      <t>. Serie 5 No. 50. Diciembre de 2007. Buenos Aires: Ministerio de Salud. Tabla 16, Nacidos vivos registrados según local de ocurrencia, Año 2006 (p. 19).</t>
    </r>
    <phoneticPr fontId="1"/>
  </si>
  <si>
    <t>Consejo Nacional de Mujeres, "Mujeres en lugares de decision," p. 3. Accessed March 17, 2011, at http://www.cnm.gov.ar/AreasDeIntervencion/MujeresEnLugaresDeDecision.pdf. Figures for Santiago del Estero are for deputies who took office on 7 April 2005, after the elections of 27 February 2005 after the province's intervention was lifted</t>
    <phoneticPr fontId="1"/>
  </si>
  <si>
    <t>Consejo Nacional de Mujeres, "Mujeres en lugares de decision," p. 17. Accessed March 17, 2011, at http://www.cnm.gov.ar/AreasDeIntervencion/MujeresEnLugaresDeDecision.pdf</t>
    <phoneticPr fontId="1"/>
  </si>
  <si>
    <r>
      <t xml:space="preserve">Calculated from Argentina. Ministerio de Salud. Dirección de Estadística e Información de Salud (2002). </t>
    </r>
    <r>
      <rPr>
        <u/>
        <sz val="9"/>
        <rFont val="Times New Roman"/>
        <family val="1"/>
      </rPr>
      <t>Estadísticas vitales - Información basica Año 2001</t>
    </r>
    <r>
      <rPr>
        <sz val="9"/>
        <rFont val="Times New Roman"/>
        <family val="1"/>
      </rPr>
      <t>. Diciembre de 2002. Buenos Aires: Ministerio de Salud. Tabla 15, Nacidos vivos registrados según local de ocurrencia, Año 2001 (p. 19).</t>
    </r>
    <phoneticPr fontId="1"/>
  </si>
  <si>
    <t>Share of the individuals living in households below the national poverty line in the province's major metro. area, EPH survey from October, Porto Ms., 1993</t>
  </si>
  <si>
    <t>Residential electricity consumpton billed, in MWh, 1994</t>
  </si>
  <si>
    <t>Residential electricity consumpton billed, in MWh, 1995</t>
  </si>
  <si>
    <t>Residential electricity consumpton billed, in MWh, 1996</t>
  </si>
  <si>
    <t>Residential electricity consumpton billed, in MWh, 1997</t>
  </si>
  <si>
    <t>Residential electricity consumpton billed, in MWh, 1998</t>
  </si>
  <si>
    <t>Residential electricity consumpton billed, in MWh, 1999</t>
  </si>
  <si>
    <r>
      <t xml:space="preserve">Calculated from Argentina. Ministerio de Salud. Dirección de Estadística e Información de Salud (2008). </t>
    </r>
    <r>
      <rPr>
        <u/>
        <sz val="9"/>
        <rFont val="Times New Roman"/>
        <family val="1"/>
      </rPr>
      <t>Estadísticas vitales. Información basica - 2007</t>
    </r>
    <r>
      <rPr>
        <sz val="9"/>
        <rFont val="Times New Roman"/>
        <family val="1"/>
      </rPr>
      <t>. Serie 5 No. 51. Diciembre de 2008. Buenos Aires: Ministerio de Salud. Tabla 16, Nacidos vivos registrados según local de ocurrencia, Año 2007 (p. 19).</t>
    </r>
    <phoneticPr fontId="1"/>
  </si>
  <si>
    <t>1996 Mar</t>
    <phoneticPr fontId="1"/>
  </si>
  <si>
    <t>PROVDEP%F99P</t>
    <phoneticPr fontId="1"/>
  </si>
  <si>
    <t>PROVDEP%F03P</t>
    <phoneticPr fontId="1"/>
  </si>
  <si>
    <t>PROVDEP%F07P</t>
    <phoneticPr fontId="1"/>
  </si>
  <si>
    <t>PROVLEG%F08</t>
    <phoneticPr fontId="1"/>
  </si>
  <si>
    <t>PROVDEP%F99C</t>
    <phoneticPr fontId="1"/>
  </si>
  <si>
    <t>PROVDEP%F03C</t>
    <phoneticPr fontId="1"/>
  </si>
  <si>
    <t>NATDEP%F83</t>
  </si>
  <si>
    <t>NATDEP%F85</t>
  </si>
  <si>
    <t>NATDEP%F87</t>
  </si>
  <si>
    <t>NATDEP%F89</t>
  </si>
  <si>
    <t>NATDEP%F91</t>
  </si>
  <si>
    <t>NATDEP%F93</t>
  </si>
  <si>
    <t>NATDEP%F95</t>
  </si>
  <si>
    <t>NATDEP%F97</t>
  </si>
  <si>
    <t>NATDEP%F99</t>
  </si>
  <si>
    <t>NATDEP%F01</t>
  </si>
  <si>
    <t>NATDEP%F03</t>
  </si>
  <si>
    <t>NATDEP%F05</t>
  </si>
  <si>
    <t>NATDEP%F07</t>
  </si>
  <si>
    <t>NATDEP%F09</t>
  </si>
  <si>
    <t>1993 Apr</t>
    <phoneticPr fontId="1"/>
  </si>
  <si>
    <t>1992 Aug</t>
    <phoneticPr fontId="1"/>
  </si>
  <si>
    <t>1994 Dec</t>
    <phoneticPr fontId="1"/>
  </si>
  <si>
    <t>1995 Jul</t>
    <phoneticPr fontId="1"/>
  </si>
  <si>
    <t>intervened</t>
    <phoneticPr fontId="1"/>
  </si>
  <si>
    <t>Residential electricity consumpton billed, in MWh, 1979</t>
    <phoneticPr fontId="1"/>
  </si>
  <si>
    <t>MWH81</t>
  </si>
  <si>
    <t>MWH82</t>
  </si>
  <si>
    <t>MWH83</t>
  </si>
  <si>
    <t>MWH84</t>
  </si>
  <si>
    <t>MWH85</t>
  </si>
  <si>
    <t>MWH86</t>
  </si>
  <si>
    <t>MWH87</t>
  </si>
  <si>
    <t>MWH88</t>
  </si>
  <si>
    <t>MWH89</t>
  </si>
  <si>
    <t>MWH93</t>
  </si>
  <si>
    <t>MWH94</t>
  </si>
  <si>
    <t>MWH95</t>
  </si>
  <si>
    <t>MWH96</t>
  </si>
  <si>
    <t>MWH97</t>
  </si>
  <si>
    <t>MWH98</t>
  </si>
  <si>
    <t>MWH99</t>
  </si>
  <si>
    <t>MWH00</t>
  </si>
  <si>
    <t>MWH01</t>
  </si>
  <si>
    <t>MWH02</t>
  </si>
  <si>
    <t>MWH03</t>
  </si>
  <si>
    <t>MWH04</t>
  </si>
  <si>
    <t>MWH05</t>
  </si>
  <si>
    <t>MWH06</t>
  </si>
  <si>
    <t>MWH07</t>
  </si>
  <si>
    <t>MWH08</t>
  </si>
  <si>
    <t>MWH09</t>
  </si>
  <si>
    <t>MWH80</t>
  </si>
  <si>
    <t>MWH70</t>
    <phoneticPr fontId="1"/>
  </si>
  <si>
    <t>MWH71</t>
    <phoneticPr fontId="1"/>
  </si>
  <si>
    <t>MWH72</t>
    <phoneticPr fontId="1"/>
  </si>
  <si>
    <t>MWH73</t>
    <phoneticPr fontId="1"/>
  </si>
  <si>
    <t>MWH74</t>
    <phoneticPr fontId="1"/>
  </si>
  <si>
    <t>MWH75</t>
    <phoneticPr fontId="1"/>
  </si>
  <si>
    <t>MWH76</t>
    <phoneticPr fontId="1"/>
  </si>
  <si>
    <t>MWH77</t>
    <phoneticPr fontId="1"/>
  </si>
  <si>
    <t>MWH78</t>
    <phoneticPr fontId="1"/>
  </si>
  <si>
    <t>MWH79</t>
    <phoneticPr fontId="1"/>
  </si>
  <si>
    <t>Births in private homes as a share of all births, 1999</t>
    <phoneticPr fontId="1"/>
  </si>
  <si>
    <t>Births in private homes as a share of all births, 2001</t>
  </si>
  <si>
    <t>Births in private homes as a share of all births, 2002</t>
  </si>
  <si>
    <t>Residential electricity consumpton billed, in MWh, 1992</t>
  </si>
  <si>
    <t>Residential electricity consumpton billed, in MWh, 1993</t>
  </si>
  <si>
    <t>Residential electricity consumpton billed, in MWh, 2009</t>
  </si>
  <si>
    <t>Residential electricity consumpton billed, in MWh, 1990</t>
  </si>
  <si>
    <t>Residential electricity consumpton billed, in MWh, 1991</t>
  </si>
  <si>
    <t>Residential electricity consumpton billed, in MWh, 2003</t>
  </si>
  <si>
    <t>Residential electricity consumpton billed, in MWh, 2004</t>
  </si>
  <si>
    <t>Residential electricity consumpton billed, in MWh, 2005</t>
  </si>
  <si>
    <t>Residential electricity consumpton billed, in MWh, 2006</t>
  </si>
  <si>
    <t>Residential electricity consumpton billed, in MWh, 2007</t>
  </si>
  <si>
    <r>
      <t xml:space="preserve">Calculated from Argentina. Ministerio de Salud. Dirección de Estadística e Información de Salud (2005). </t>
    </r>
    <r>
      <rPr>
        <u/>
        <sz val="9"/>
        <rFont val="Times New Roman"/>
        <family val="1"/>
      </rPr>
      <t>Estadísticas vitales. Información basica - 2004</t>
    </r>
    <r>
      <rPr>
        <sz val="9"/>
        <rFont val="Times New Roman"/>
        <family val="1"/>
      </rPr>
      <t>. Serie 5 No. 48. Diciembre de 2005. Buenos Aires: Ministerio de Salud. Tabla 16, Nacidos vivos registrados según local de ocurrencia, Año 2004 (p. 19).</t>
    </r>
    <phoneticPr fontId="1"/>
  </si>
  <si>
    <t>Births outside medical facilities as a share of all births, 2006</t>
  </si>
  <si>
    <t>Births outside medical facilities as a share of all births, 2007</t>
  </si>
  <si>
    <t>Births outside medical facilities as a share of all births, 2008</t>
  </si>
  <si>
    <t>Births outside medical facilities as a share of all births, 2009</t>
  </si>
  <si>
    <t>Births outside medical facilities as a share of all births, 2000</t>
  </si>
  <si>
    <t>Arg Min Salud</t>
  </si>
  <si>
    <t>KWHPC07</t>
  </si>
  <si>
    <t>KWHPC08</t>
  </si>
  <si>
    <t>KWHPC09</t>
  </si>
  <si>
    <t>KWHPC70</t>
  </si>
  <si>
    <t>Residential electricity consumpton billed, in MWh, 2000</t>
  </si>
  <si>
    <t>Residential electricity consumpton billed, in MWh, 2001</t>
  </si>
  <si>
    <t>KWHPC06</t>
  </si>
  <si>
    <t>Residential electricity consumpton billed, in MWh, 1981</t>
  </si>
  <si>
    <t>Residential electricity consumpton billed, in MWh, 1982</t>
  </si>
  <si>
    <t>Residential electricity consumpton billed, in MWh, 1983</t>
  </si>
  <si>
    <t>Residential electricity consumpton billed, in MWh, 1984</t>
  </si>
  <si>
    <t>Residential electricity consumpton billed, in MWh, 1985</t>
  </si>
  <si>
    <t>Residential electricity consumpton billed, in MWh, 1986</t>
  </si>
  <si>
    <t>Residential electricity consumpton billed, in MWh, 1978</t>
    <phoneticPr fontId="1"/>
  </si>
  <si>
    <t>% births no facil</t>
    <phoneticPr fontId="5" type="noConversion"/>
  </si>
  <si>
    <t>Quotient of MWH ÷ POPI in each year multiplied by 1000 to get KWH billed per capita in each year</t>
    <phoneticPr fontId="1"/>
  </si>
  <si>
    <t>KWHPC71</t>
  </si>
  <si>
    <t>KWHPC72</t>
  </si>
  <si>
    <t>KWHPC73</t>
  </si>
  <si>
    <t>Residential electricity consumpton billed, in MWh, 1987</t>
  </si>
  <si>
    <t>Residential electricity consumpton billed, in MWh, 1988</t>
  </si>
  <si>
    <t>Residential electricity consumpton billed, in MWh, 1989</t>
  </si>
  <si>
    <t>Residential electricity consumpton billed, in MWh, 1977</t>
    <phoneticPr fontId="1"/>
  </si>
  <si>
    <r>
      <t xml:space="preserve">Calculated from Argentina. Ministerio de Salud. Dirección de Estadística e Información de Salud (2006). </t>
    </r>
    <r>
      <rPr>
        <u/>
        <sz val="9"/>
        <rFont val="Times New Roman"/>
        <family val="1"/>
      </rPr>
      <t>Estadísticas vitales. Información basica - 2005</t>
    </r>
    <r>
      <rPr>
        <sz val="9"/>
        <rFont val="Times New Roman"/>
        <family val="1"/>
      </rPr>
      <t>. Serie 5 No. 49. Noviembre de 2006. Buenos Aires: Ministerio de Salud. Tabla 16, Nacidos vivos registrados según local de ocurrencia, Año 2005 (p. 19).</t>
    </r>
    <phoneticPr fontId="1"/>
  </si>
  <si>
    <t>1970</t>
    <phoneticPr fontId="1"/>
  </si>
  <si>
    <t>1971</t>
    <phoneticPr fontId="1"/>
  </si>
  <si>
    <t>1972</t>
    <phoneticPr fontId="1"/>
  </si>
  <si>
    <t>1973</t>
    <phoneticPr fontId="1"/>
  </si>
  <si>
    <t>1974</t>
    <phoneticPr fontId="1"/>
  </si>
  <si>
    <t>1975</t>
    <phoneticPr fontId="1"/>
  </si>
  <si>
    <t>2005</t>
    <phoneticPr fontId="1"/>
  </si>
  <si>
    <t>2006</t>
    <phoneticPr fontId="1"/>
  </si>
  <si>
    <t>2007</t>
    <phoneticPr fontId="1"/>
  </si>
  <si>
    <t>2008</t>
    <phoneticPr fontId="1"/>
  </si>
  <si>
    <t>2009</t>
    <phoneticPr fontId="1"/>
  </si>
  <si>
    <t>Resid Elec Cons</t>
    <phoneticPr fontId="1"/>
  </si>
  <si>
    <t>MECON</t>
    <phoneticPr fontId="1"/>
  </si>
  <si>
    <t>Births in private homes as a share of all births, 2003</t>
  </si>
  <si>
    <t>Births in private homes as a share of all births, 2004</t>
  </si>
  <si>
    <t>Births in private homes as a share of all births, 2005</t>
  </si>
  <si>
    <t>Births in private homes as a share of all births, 2006</t>
  </si>
  <si>
    <t>Births in private homes as a share of all births, 2007</t>
  </si>
  <si>
    <t>Births in private homes as a share of all births, 2008</t>
  </si>
  <si>
    <t>Births in private homes as a share of all births, 2009</t>
  </si>
  <si>
    <t>Births in private homes as a share of all births, 2000</t>
  </si>
  <si>
    <t>Births outside medical facilities as a share of all births, 2001</t>
  </si>
  <si>
    <t>Births outside medical facilities as a share of all births, 2002</t>
  </si>
  <si>
    <t>Births outside medical facilities as a share of all births, 2003</t>
  </si>
  <si>
    <t>Births outside medical facilities as a share of all births, 2004</t>
  </si>
  <si>
    <t>Births outside medical facilities as a share of all births, 2005</t>
  </si>
  <si>
    <t>2002</t>
  </si>
  <si>
    <t>Barnes 2012</t>
  </si>
  <si>
    <t>Date on which gender quota law adopted</t>
  </si>
  <si>
    <t>Election year in which gender quota first implemented</t>
  </si>
  <si>
    <t>Placement mandate (women must be placed in "electable" positions on lists)</t>
  </si>
  <si>
    <t>Minimum required percentage of women on list</t>
  </si>
  <si>
    <t>Election year in which placement mandate first implemented</t>
  </si>
  <si>
    <t>30 ('95) / 50 ('01)</t>
  </si>
  <si>
    <t>33 ('93) / 50 ('03)</t>
  </si>
  <si>
    <t>0 then 1</t>
  </si>
  <si>
    <t>Atlas Electoral de Andy Tow. Accessed March 20, 2011, at http://towsa.com/andy/totalpais/</t>
  </si>
  <si>
    <t>2011</t>
  </si>
  <si>
    <t>Date of provincial deputy election, 2011</t>
  </si>
  <si>
    <t>PROVELDATE11</t>
  </si>
  <si>
    <t>Atlas Electoral de Andy Tow. Accessed January 14, 2013, at http://towsa.com/andy/totalpais/index.html</t>
  </si>
  <si>
    <t>Caminotti, Mariana, "Derribar los muros indebidos: Reflexiones en torno de las leyes de cupo femenino in Argentina, Aportes No. 25 (2009?), p. 24.</t>
  </si>
  <si>
    <t>Women as a percentage of provincial deputies as of data consulted in September 2004</t>
  </si>
  <si>
    <t>Colotta, Mariana (2007). "Dirigentes argentinas: trayectorias y prácticas de las que se animaron a perforar el techo de cristal in el ámbito político en los últimos quince años." IDISCO {Instituto de Investiaciones en Ciencias Sociales, Universidad del Salvador, Buenos Aires. July, pp. 16-17.</t>
  </si>
  <si>
    <t>Lubertino, María José. "La participación política de las mujeres y la Ley de Cupos en Argentina." In Participación Ciudadana, Las Reformas Electorales Pendientes: Organos electorales, listas de candidaturas y cuota femenina. Santo Domingo: Participación Ciudadana, p. 147. Accessed January 14, 2103, at http://www.pciudadana.org/documentos/publicaciones/3_(2005)13.reformas_electorales_pendientes.pdf#page=119</t>
  </si>
  <si>
    <t>Lubertino</t>
  </si>
  <si>
    <t>1999</t>
  </si>
  <si>
    <t>PROVDEP#F99</t>
  </si>
  <si>
    <t>Number of females holding seats in the provincial Chamber of Deputies in 1999 (some time before October)</t>
  </si>
  <si>
    <t>Unicameral*</t>
  </si>
  <si>
    <t>Martínez, María Antonia, y Antonio Garrido (2010). De la política de la presencia a la política de la diferencia: Representación de las mujeres in cuatro parlamentos nacionales (Mexico, Chile, Argentina, y Uruguay). Barcelona: Fundación CIDOB, p. 64. *Córdoba had a bicameral legislature until 2002.</t>
  </si>
  <si>
    <t>2010</t>
  </si>
  <si>
    <t>IMR11</t>
  </si>
  <si>
    <t>IMR10</t>
  </si>
  <si>
    <t>Infant (0-1) deaths per 1000 live births, 2011, according to the province in which the mother usually resides.</t>
  </si>
  <si>
    <t>Infant (0-1) deaths per 1000 live births, 2010, according to the province in which the mother usually resides.</t>
  </si>
  <si>
    <t>Infant (0-1) deaths per 1000 live births, 2009, according to the province in which the mother usually resides.</t>
  </si>
  <si>
    <t>Infant (0-1) deaths per 1000 live births, 2008, according to the province in which the mother usually resides.</t>
  </si>
  <si>
    <t>Infant (0-1) deaths per 1000 live births, 2007, according to the province in which the mother usually resides.</t>
  </si>
  <si>
    <t>Infant (0-1) deaths per 1000 live births, 2006, according to the province in which the mother usually resides.</t>
  </si>
  <si>
    <t>Infant (0-1) deaths per 1000 live births, 2005, according to the province in which the mother usually resides.</t>
  </si>
  <si>
    <t>Infant (0-1) deaths per 1000 live births, 2004, according to the province in which the mother usually resides.</t>
  </si>
  <si>
    <t>Infant (0-1) deaths per 1000 live births, 2003, according to the province in which the mother usually resides.</t>
  </si>
  <si>
    <t>Infant (0-1) deaths per 1000 live births, 2002, according to the province in which the mother usually resides.</t>
  </si>
  <si>
    <t>Infant (0-1) deaths per 1000 live births, 2001, according to the province in which the mother usually resides.</t>
  </si>
  <si>
    <t>Infant (0-1) deaths per 1000 live births, 2000, according to the province in which the mother usually resides.</t>
  </si>
  <si>
    <t>Infant (0-1) deaths per 1000 live births, 1999, according to the province in which the mother usually resides.</t>
  </si>
  <si>
    <t>Infant (0-1) deaths per 1000 live births, 1998, according to the province in which the mother usually resides.</t>
  </si>
  <si>
    <t>Infant (0-1) deaths per 1000 live births, 1997, according to the province in which the mother usually resides.</t>
  </si>
  <si>
    <t>Infant (0-1) deaths per 1000 live births, 1996, according to the province in which the mother usually resides.</t>
  </si>
  <si>
    <t>Infant (0-1) deaths per 1000 live births, 1994, according to the province in which the mother usually resides.</t>
  </si>
  <si>
    <t>Infant (0-1) deaths per 1000 live births, 1993, according to the province in which the mother usually resides.</t>
  </si>
  <si>
    <t>Infant (0-1) deaths per 1000 live births, 1992, according to the province in which the mother usually resides.</t>
  </si>
  <si>
    <t>Infant (0-1) deaths per 1000 live births, 1991, according to the province in which the mother usually resides.</t>
  </si>
  <si>
    <t>Infant (0-1) deaths per 1000 live births, 1990, according to the province in which the mother usually resides.</t>
  </si>
  <si>
    <t>Infant (0-1) deaths per 1000 live births, 1989, according to the province in which the mother usually resides.</t>
  </si>
  <si>
    <t>Infant (0-1) deaths per 1000 live births, 1988, according to the province in which the mother usually resides.</t>
  </si>
  <si>
    <t>Infant (0-1) deaths per 1000 live births, 1987, according to the province in which the mother usually resides.</t>
  </si>
  <si>
    <t>Infant (0-1) deaths per 1000 live births, 1986, according to the province in which the mother usually resides.</t>
  </si>
  <si>
    <t>Infant (0-1) deaths per 1000 live births, 1985, according to the province in which the mother usually resides.</t>
  </si>
  <si>
    <t>Infant (0-1) deaths per 1000 live births, 1984, according to the province in which the mother usually resides.</t>
  </si>
  <si>
    <t>Infant (0-1) deaths per 1000 live births, 1983, according to the province in which the mother usually resides.</t>
  </si>
  <si>
    <t>Infant (0-1) deaths per 1000 live births, 1982, according to the province in which the mother usually resides.</t>
  </si>
  <si>
    <t>Infant (0-1) deaths per 1000 live births, 1981, according to the province in which the mother usually resides.</t>
  </si>
  <si>
    <t>Infant (0-1) deaths per 1000 live births, 1980, according to the province in which the mother usually resides.</t>
  </si>
  <si>
    <t>Argentina. Ministerio de Salud (2012). Estadísticas vitales: Información basica - Año 2011. Dirección de Estadísticas e Información de Salud. Serie 5, Número 55, p. 80. Diciembre. Buenos Aires: Ministerio de Salud. Accessed August 1, 2013, at http://www.deis.gov.ar/publicaciones/archivos/Serie5Nro55.pdf</t>
  </si>
  <si>
    <t>MWH10</t>
  </si>
  <si>
    <t>MWH11</t>
  </si>
  <si>
    <t>Residential electricity consumpton billed, in MWh, 2010</t>
  </si>
  <si>
    <t>Residential electricity consumpton billed, in MWh, 2011</t>
  </si>
  <si>
    <t>Population (estimate), 2011</t>
  </si>
  <si>
    <t>POPI2011</t>
  </si>
  <si>
    <t>Argentina. Ministerio de Salud (2012). Estadísticas vitales: Información basica - Año 2011. Dirección de Estadísticas e Información de Salud. Serie 5, Número 55, p. 110. Diciembre. Buenos Aires: Ministerio de Salud. Accessed August 1, 2013, at http://www.deis.gov.ar/publicaciones/archivos/Serie5Nro55.pdf</t>
  </si>
  <si>
    <t>INDEC/DINREP</t>
  </si>
  <si>
    <t>2012</t>
  </si>
  <si>
    <t>Gini index of income inequality, INDEC/DINREP, 2012</t>
  </si>
  <si>
    <t>Argentina. Instituto Nacional de Estadística y Censos. Dirección Nacional de Relaciones Económicas con las Provincias. "Mapa Socio-Laboral Provincial" Accesed August 13, 2013, at http://www2.mecon.gov.ar/hacienda/dinrep/mapas/Cuadro.xls</t>
  </si>
  <si>
    <t>GINI2012</t>
  </si>
  <si>
    <t>Per capita residential electricity consumpton billed, in KWh per capita, 2010</t>
  </si>
  <si>
    <t>Per capita residential electricity consumpton billed, in KWh per capita, 2011</t>
  </si>
  <si>
    <t>KWHPC10</t>
  </si>
  <si>
    <t>KWHPC11</t>
  </si>
  <si>
    <t>1991</t>
  </si>
  <si>
    <t>2002</t>
    <phoneticPr fontId="1"/>
  </si>
  <si>
    <t>2003</t>
    <phoneticPr fontId="1"/>
  </si>
  <si>
    <t>2005</t>
  </si>
  <si>
    <t>2006</t>
    <phoneticPr fontId="1"/>
  </si>
  <si>
    <t>2008</t>
    <phoneticPr fontId="1"/>
  </si>
  <si>
    <t>2009</t>
    <phoneticPr fontId="1"/>
  </si>
  <si>
    <t>Min de Interior</t>
  </si>
  <si>
    <t>Fem % prov dep</t>
  </si>
  <si>
    <t>Fem % nat dep</t>
  </si>
  <si>
    <t>Argentina. Ministerio de Planificación Federal. Secretaría de Energía. Serie Histórica de Energia Eléctrica. Serie Facturación en MWh 1970-2008. Accessed March 26, 2011, at http://energia3.mecon.gov.ar/contenidos/verpagina.php?idpagina=3140.</t>
  </si>
  <si>
    <t>Argentina. Ministerio de Planificación Federal. Secretaría de Energía. Serie Histórica de Energia Eléctrica. Serie Facturación en MWh 1970-2011. Accessed August 1, 2013, at http://energia3.mecon.gov.ar/contenidos/verpagina.php?idpagina=3140.</t>
  </si>
  <si>
    <t>Births outside medical facilities as a share of all births, 2011</t>
  </si>
  <si>
    <r>
      <t xml:space="preserve">Calculated from Argentina. Ministerio de Salud. Dirección de Estadísticas e Información de Salud (2012). </t>
    </r>
    <r>
      <rPr>
        <u/>
        <sz val="9"/>
        <rFont val="Times New Roman"/>
        <family val="1"/>
      </rPr>
      <t>Estadísticas vitales. Información basica - 2011</t>
    </r>
    <r>
      <rPr>
        <sz val="9"/>
        <rFont val="Times New Roman"/>
        <family val="1"/>
      </rPr>
      <t>. Serie 5 No. 55. Diciembre de 2012. Buenos Aires: Ministerio de Salud. Tabla 17, Nacidos vivos registrados según local de ocurrencia, Año 2011 (p. 22).</t>
    </r>
  </si>
  <si>
    <t>Births outside medical facilities as a share of all births, 2010</t>
  </si>
  <si>
    <r>
      <t xml:space="preserve">Calculated from Argentina. Ministerio de Salud. Dirección de Estadísticas e Información de Salud (2011). </t>
    </r>
    <r>
      <rPr>
        <u/>
        <sz val="9"/>
        <rFont val="Times New Roman"/>
        <family val="1"/>
      </rPr>
      <t>Estadísticas vitales. Información basica - 2010</t>
    </r>
    <r>
      <rPr>
        <sz val="9"/>
        <rFont val="Times New Roman"/>
        <family val="1"/>
      </rPr>
      <t>. Serie 5 No. 54. Diciembre de 2011. Buenos Aires: Ministerio de Salud. Tabla 18, Nacidos vivos registrados según local de ocurrencia, Año 2010 (p. 21).</t>
    </r>
  </si>
  <si>
    <t>Calculated from Argentina. Ministerio de Salud. Dirección de Estadísticas e Información de Salud (2002). Estadísticas vitales - Información basica Año 2001. Serie 5 No. 45. Diciembre de 2002. Buenos Aires: Ministerio de Salud. Tabla 15, Nacidos vivos registrados según local de ocurrencia, Año 2001 (p. 19).</t>
  </si>
  <si>
    <t>Calculated from Argentina. Ministerio de Salud. Dirección de Estadísticas e Información de Salud (2003). Estadísticas vitales. Información basica - 2002. Serie 5 No. 46. Diciembre de 2003. Buenos Aires: Ministerio de Salud. Tabla 15, Nacidos vivos registrados según local de ocurrencia, Año 2002 (p. 20).</t>
  </si>
  <si>
    <t>Calculated from Argentina. Ministerio de Salud. Dirección de Estadísticas e Información de Salud (2004). Estadísticas vitales. Información basica - 2003. Serie 5 No. 47. Diciembre 2004. Buenos Aires: Ministerio de Salud. Tabla 16, Nacidos vivos registrados según local de ocurrencia, Año 2003 (p. 19).</t>
  </si>
  <si>
    <t>Calculated from Argentina. Ministerio de Salud. Dirección de Estadísticas e Información de Salud (2005). Estadísticas vitales. Información basica - 2004. Serie 5 No. 48. Diciembre de 2005. Buenos Aires: Ministerio de Salud. Tabla 16, Nacidos vivos registrados según local de ocurrencia, Año 2004 (p. 19).</t>
  </si>
  <si>
    <t>Calculated from Argentina. Ministerio de Salud. Dirección de Estadísticas e Información de Salud (2006). Estadísticas vitales. Información basica - 2005. Serie 5 No. 49. Noviembre de 2006. Buenos Aires: Ministerio de Salud. Tabla 16, Nacidos vivos registrados según local de ocurrencia, Año 2005 (p. 19).</t>
  </si>
  <si>
    <t>Calculated from Argentina. Ministerio de Salud. Dirección de Estadísticas e Información de Salud (2007). Estadísticas vitales. Información basica - 2006. Serie 5 No. 50. Diciembre de 2007. Buenos Aires: Ministerio de Salud. Tabla 16, Nacidos vivos registrados según local de ocurrencia, Año 2006 (p. 19).</t>
  </si>
  <si>
    <t>Calculated from Argentina. Ministerio de Salud. Dirección de Estadísticas e Información de Salud (2008). Estadísticas vitales. Información basica - 2007. Serie 5 No. 51. Diciembre de 2008. Buenos Aires: Ministerio de Salud. Tabla 16, Nacidos vivos registrados según local de ocurrencia, Año 2007 (p. 19).</t>
  </si>
  <si>
    <t>Calculated from Argentina. Ministerio de Salud. Dirección de Estadísticas e Información de Salud (2009). Estadísticas vitales. Información basica - 2008. Serie 5 No. 52. Noviembre de 2009. Buenos Aires: Ministerio de Salud. Tabla 16, Nacidos vivos registrados según local de ocurrencia, Año 2008 (p. 19).</t>
  </si>
  <si>
    <t>Calculated from Argentina. Ministerio de Salud. Dirección de Estadísticas e Información de Salud (2010). Estadísticas vitales. Información basica - 2009. Serie 5 No. 53. Diciembre de 2010. Buenos Aires: Ministerio de Salud. Tabla 18, Nacidos vivos registrados según local de ocurrencia, Año 2009 (p. 21).</t>
  </si>
  <si>
    <t>Turnout in provincial deputy election (votes divided by eligible voters), 2011</t>
  </si>
  <si>
    <t>TURN2009</t>
  </si>
  <si>
    <t>TURN2011</t>
  </si>
  <si>
    <t>Tow, Andy. Atlas Electoral de Andy Tow. Elecciones en la Argentina desde 1983. Accessed September 21, 2013, at http://www.towsa.com/andy/totalpais/index.html</t>
  </si>
  <si>
    <t>Tow 2013</t>
  </si>
  <si>
    <t>2009</t>
  </si>
  <si>
    <t>Turnout in provincial deputy election (votes divided by eligible voters), 2009</t>
  </si>
  <si>
    <t>No provincial deputy election in Santiago del Estero between 27 Feb 2005 and 30 Nov 2008</t>
  </si>
  <si>
    <t>Election in Santiago del Estero was on 30 Nov 2008</t>
  </si>
  <si>
    <t>Figure for La Rioja is turnout for election for governor and vice-governor (no data given for provincial deputy election). No provincial deputy election in Santiago del Estero between 30 Nov 2008 and 27 Oct 2013</t>
  </si>
  <si>
    <t>% of votes in provincial deputy election going to the most-voted party or coalition, 2009</t>
  </si>
  <si>
    <t>% of votes in provincial deputy election going to the most-voted party or coalition, 2011</t>
  </si>
  <si>
    <t>VOSH2009</t>
  </si>
  <si>
    <t>VOSH2011</t>
  </si>
  <si>
    <t>Data for La Rioja from http://www.eleccionesargentina.info/provincias/La%20Rioja/Resultado-elecciones-La-rioja-2011.html No provincial deputy election in Santiago del Estero between 30 Nov 2008 and 27 Oct 2013</t>
  </si>
  <si>
    <t>PROVDEP%F11M</t>
  </si>
  <si>
    <t>Argentina. Ministerio del Interior y Transporte. Secretaría de Provincias (2013). "Información de Provincias." Updated January 7, 2013. Accessed January 12, 2013, at http://www.mininterior.gov.ar/provincias/provincias.php?idName=provincias&amp;idNameSubMenu=&amp;idNameSubMenuDer=</t>
  </si>
  <si>
    <t>Min Int 2013</t>
  </si>
  <si>
    <t>Women as a percentage of provincial deputies, mandates 2011-13 or 2011-15</t>
  </si>
  <si>
    <t>Women as a percentage of provincial deputies, mandates 2007-11 or 2009-11</t>
  </si>
  <si>
    <t>PROVDEP%F09P</t>
  </si>
  <si>
    <t>Argentina. Ministerio del Interior y Transporte. Secretaría de Provincias (2010). "Información de Provincias." Updated February 27, 2010. Accessed March 8, 2010, at http://www.mininterior.gov.ar/provincias/provincias.php?idName=provincias&amp;idNameSubMenu=&amp;idNameSubMenuDer=</t>
  </si>
  <si>
    <t>data from 4º trimestre, based on EPH</t>
  </si>
  <si>
    <t>Argentina. Instituto Nacional de Estadística y Censos. Dirección Nacional de Relaciones Económicas con las Provincias. "Mapa Socio-Laboral Provincial" Accessed June 23, 2014, at http://www2.mecon.gov.ar/hacienda/dinrep/mapas/Cuadro.xls</t>
  </si>
  <si>
    <t>GINI2013</t>
  </si>
  <si>
    <t>2013</t>
  </si>
  <si>
    <t>Gini index of income inequality, INDEC/DINREP, 2013</t>
  </si>
  <si>
    <t>Porto, Alberto, Director (2004). Disparidades regionales y federalismo fiscal. La Plata, Argentina: Editorial de la Universidad de La Plata, p. 24. Accessed December 21, 2009, at http://www.depeco.econo.unlp.edu.ar/federalismo/default.htm</t>
  </si>
  <si>
    <t>Share of the individuals living in households below the national poverty line in the province's major metro. areas, EPH survey from October, Porto Ms., 1992</t>
  </si>
  <si>
    <t>Share of the individuals living in households below the national poverty line in the province's major metro. areas, EPH survey from October, Porto Ms., 1994</t>
  </si>
  <si>
    <t>Share of the individuals living in households below the national poverty line in the province's major metro. areas, EPH survey from October, Porto Ms., 1995</t>
  </si>
  <si>
    <t>Share of the individuals living in households below the national poverty line in the province's major metro. areas, EPH survey from October, Porto Ms., 1996</t>
  </si>
  <si>
    <t>Share of the individuals living in households below the national poverty line in the province's major metro. areas, EPH survey from October, Porto Ms., 1997</t>
  </si>
  <si>
    <t>Share of the individuals living in households below the national poverty line in the province's major metro. areas, EPH survey from October, Porto Ms., 1998</t>
  </si>
  <si>
    <t>Share of the individuals living in households below the national poverty line in the province's major metro. areas, EPH survey from October, Porto Ms., 1999</t>
  </si>
  <si>
    <t>Share of the individuals living in households below the national poverty line in the province's major metro. areas, EPH survey from October, Porto Ms., 2000</t>
  </si>
  <si>
    <t>Share of the individuals living in households below the national poverty line in the province's major metro. areas, EPH survey from October, Porto Ms., 2001</t>
  </si>
  <si>
    <t>Share of the individuals living in households below the national poverty line in the province's major metro. areas, EPH survey from October, Porto Ms., 2002</t>
  </si>
  <si>
    <t>POVN2003</t>
  </si>
  <si>
    <t>POVN2004</t>
  </si>
  <si>
    <t>POVN2005</t>
  </si>
  <si>
    <t>POVN2006</t>
  </si>
  <si>
    <t>POVN2007</t>
  </si>
  <si>
    <t>POVN2008</t>
  </si>
  <si>
    <t>POVN2009</t>
  </si>
  <si>
    <t>POVN2010</t>
  </si>
  <si>
    <t>POVN2011</t>
  </si>
  <si>
    <t>POVN2012</t>
  </si>
  <si>
    <t>Min Econ</t>
  </si>
  <si>
    <t>Share of the individuals living in households below the national poverty line in the province's major metro. areas, EPH survey from October, Economy Ministry, 2001</t>
  </si>
  <si>
    <t>Share of the individuals living in households below the national poverty line in the province's major metro. areas, EPH survey from October, Economy Ministry, 2002</t>
  </si>
  <si>
    <t>Share of the individuals living in households below the national poverty line in the province's major metro. areas, EPH survey from October, Economy Ministry, 2003</t>
  </si>
  <si>
    <t>Share of the individuals living in households below the national poverty line in the province's major metro. areas, EPH survey from October, Economy Ministry, 2004</t>
  </si>
  <si>
    <t>Share of the individuals living in households below the national poverty line in the province's major metro. areas, EPH survey from October, Economy Ministry, 2005</t>
  </si>
  <si>
    <t>Share of the individuals living in households below the national poverty line in the province's major metro. areas, EPH survey from October, Economy Ministry, 2006</t>
  </si>
  <si>
    <t>Share of the individuals living in households below the national poverty line in the province's major metro. areas, EPH survey from October, Economy Ministry, 2007</t>
  </si>
  <si>
    <t>Share of the individuals living in households below the national poverty line in the province's major metro. areas, EPH survey from October, Economy Ministry, 2008</t>
  </si>
  <si>
    <t>Share of the individuals living in households below the national poverty line in the province's major metro. areas, EPH survey from October, Economy Ministry, 2009</t>
  </si>
  <si>
    <t>Share of the individuals living in households below the national poverty line in the province's major metro. areas, EPH survey from October, Economy Ministry, 2010</t>
  </si>
  <si>
    <t>Share of the individuals living in households below the national poverty line in the province's major metro. areas, EPH survey from October, Economy Ministry, 2011</t>
  </si>
  <si>
    <t>Share of the individuals living in households below the national poverty line in the province's major metro. areas, EPH survey from October, Economy Ministry, 2012</t>
  </si>
  <si>
    <t xml:space="preserve">Porto, Alberto, Director (2004). Disparidades regionales y federalismo fiscal. La Plata, Argentina: Editorial de la Universidad de La Plata, p. 25. Accessed December 21, 2009, at http://www.depeco.econo.unlp.edu.ar/federalismo/default.htm </t>
  </si>
  <si>
    <t>MWH12</t>
  </si>
  <si>
    <t>Residential electricity consumpton billed, in MWh, 2012</t>
  </si>
  <si>
    <t>Argentina. Ministerio de Planificación Federal. Secretaría de Energía. Serie Histórica de Energia Eléctrica. Serie Facturación en MWh 1970-2012. Accessed June 26, 2014, at http://energia3.mecon.gov.ar/contenidos/verpagina.php?idpagina=3140.</t>
  </si>
  <si>
    <t>Affluence</t>
  </si>
  <si>
    <t>POPI2012</t>
  </si>
  <si>
    <t>KWHPC12</t>
  </si>
  <si>
    <t>Buenos Aires figure is the total of "Buenos Aires" and "Gran Buenos Aires." Corrientes figure is estimated as the total billed electricity consumption in Corrientes in 2012 multiplied by the proportion of that consumption that was residential in 2011.</t>
  </si>
  <si>
    <t>Quotient of MWH ÷ POPI in each year multiplied by 1000 to get KWH billed per capita in each year</t>
  </si>
  <si>
    <t>Per capita residential electricity consumpton billed, in KWh per capita, 2012</t>
  </si>
  <si>
    <t>Infant (0-1) deaths per 1000 live births, 2012, according to the province in which the mother usually resides.</t>
  </si>
  <si>
    <t>IMR12</t>
  </si>
  <si>
    <t>Argentina. Ministerio de Salud (2013). Estadísticas vitales: Información basica - Año 2012. Dirección de Estadísticas e Información de Salud. Serie 5, Número 56, p. 80. Diciembre. Buenos Aires: Ministerio de Salud. Accessed June 26, 2014, at http://www.deis.gov.ar/publicaciones/archivos/Serie5Nro56.pdf</t>
  </si>
  <si>
    <t>From 2012 edition, p. 80: "Varios meses después de la difusión de las Estadísticas Vitales 2011, la provincia de Misiones envió una nueva base de datos de nacidos vivos registrados en el año 2011, que determina un menor valor para la tasa de mortalidad infantil (11,2 o/oo)."</t>
  </si>
  <si>
    <t>PROVSEATST99CP</t>
  </si>
  <si>
    <t>PROVSEATST99I</t>
  </si>
  <si>
    <t>PROVSEATST99CNM</t>
  </si>
  <si>
    <t>intervened</t>
  </si>
  <si>
    <t>Number of provincial legislative seats (both houses combined if bicameral) on December 10, 1999</t>
  </si>
  <si>
    <t>Number of provincial legislative seats (lower house only if bicameral) in the year 1999. Bicameral = bue, cat, cor, men, sal, slu, sfe</t>
  </si>
  <si>
    <t>PROVSEATST95L</t>
  </si>
  <si>
    <t>CNM</t>
  </si>
  <si>
    <t>Leiras Diss 2006</t>
  </si>
  <si>
    <t>Leiras, Marcelo. "Parties, provinces and electoral coordination: a study on the determinants of party and party system aggregation in Argentina, 1983-2005." Diss. University of Notre Dame, 2006, p. 236.</t>
  </si>
  <si>
    <t>Gender Quota</t>
  </si>
  <si>
    <t>Number of national deputies, total, circa 2005.</t>
  </si>
  <si>
    <t>1997*</t>
  </si>
  <si>
    <t>1993**</t>
  </si>
  <si>
    <t>1993***</t>
  </si>
  <si>
    <t>2010 S1</t>
  </si>
  <si>
    <t>2010 S2</t>
  </si>
  <si>
    <t>2011 S1</t>
  </si>
  <si>
    <t>2011 S2</t>
  </si>
  <si>
    <t>2012 S1</t>
  </si>
  <si>
    <t>2012 S2</t>
  </si>
  <si>
    <t>2013 S1</t>
  </si>
  <si>
    <t>Percentage of the popuation in households below the national poverty line, first semester 2010</t>
  </si>
  <si>
    <t>Percentage of the popuation in households below the national poverty line, second semester 2010</t>
  </si>
  <si>
    <t>Percentage of the popuation in households below the national poverty line, first semester 2011</t>
  </si>
  <si>
    <t>Percentage of the popuation in households below the national poverty line, second semester 2011</t>
  </si>
  <si>
    <t>Percentage of the popuation in households below the national poverty line, first semester 2012</t>
  </si>
  <si>
    <t>Percentage of the popuation in households below the national poverty line, second semester 2012</t>
  </si>
  <si>
    <t>Percentage of the popuation in households below the national poverty line, first semester 2013</t>
  </si>
  <si>
    <t>POVN2010S1</t>
  </si>
  <si>
    <t>POVN2010S2</t>
  </si>
  <si>
    <t>POVN2011S1</t>
  </si>
  <si>
    <t>POVN2011S2</t>
  </si>
  <si>
    <t>POVN2012S1</t>
  </si>
  <si>
    <t>POVN2012S2</t>
  </si>
  <si>
    <t>POVN2013S1</t>
  </si>
  <si>
    <t>Category</t>
  </si>
  <si>
    <t>Subcategory Broad</t>
  </si>
  <si>
    <t>Subcategory Specific</t>
  </si>
  <si>
    <t>Date</t>
  </si>
  <si>
    <t>Prov</t>
  </si>
  <si>
    <t>Santa Fé</t>
  </si>
  <si>
    <t>San Salvador de Jujuy</t>
  </si>
  <si>
    <t>1996</t>
  </si>
  <si>
    <t>Bicameral?</t>
  </si>
  <si>
    <t>Nº seats in lower house</t>
  </si>
  <si>
    <t>Renew whole chamber every 4 years?</t>
  </si>
  <si>
    <t>Number of electoral districts (excluding the single district, the whole province)</t>
  </si>
  <si>
    <t>Average Nº seats in an electoral district in a given election</t>
  </si>
  <si>
    <t>Proportional representation for all parties?</t>
  </si>
  <si>
    <t>Incomplete list system: plurality party gets absolute majority</t>
  </si>
  <si>
    <t>Proportional rep for non-purality parties?</t>
  </si>
  <si>
    <t>Mixed PR and FPTP?</t>
  </si>
  <si>
    <t>% seats SMD</t>
  </si>
  <si>
    <t>PR lists closed but unblocked?</t>
  </si>
  <si>
    <t>Alles 2009 classification</t>
  </si>
  <si>
    <t>Ley de Lemas?</t>
  </si>
  <si>
    <t>Most recent leg elec concurrent w/national?</t>
  </si>
  <si>
    <t>Immediate re-election OK?</t>
  </si>
  <si>
    <t>Nominal vote % threshold for party rep in lower house?</t>
  </si>
  <si>
    <t>% seats held by parties with fewer than 3 seats (fewer than 4 in ER, fewer than 2 in SE &amp; RN)</t>
  </si>
  <si>
    <t>Legislative year starts</t>
  </si>
  <si>
    <t>Legislative year ends</t>
  </si>
  <si>
    <t>Nº seats to 11º largest party in most recent elec</t>
  </si>
  <si>
    <t>bicam</t>
  </si>
  <si>
    <t>seats</t>
  </si>
  <si>
    <t>renewfull</t>
  </si>
  <si>
    <t>districts</t>
  </si>
  <si>
    <t>distmag</t>
  </si>
  <si>
    <t>prop</t>
  </si>
  <si>
    <t>plurbonus</t>
  </si>
  <si>
    <t>fptp</t>
  </si>
  <si>
    <t>smd</t>
  </si>
  <si>
    <t>unblock</t>
  </si>
  <si>
    <t>lemas</t>
  </si>
  <si>
    <t>concurr</t>
  </si>
  <si>
    <t>reelec</t>
  </si>
  <si>
    <t>thresh</t>
  </si>
  <si>
    <t>frag</t>
  </si>
  <si>
    <t>Proporcional</t>
  </si>
  <si>
    <t>Cámara de Diputados</t>
  </si>
  <si>
    <t>Legislatura</t>
  </si>
  <si>
    <t>Poder Legislativo</t>
  </si>
  <si>
    <t>Lista Incompleta</t>
  </si>
  <si>
    <t>Segmentada</t>
  </si>
  <si>
    <t>Cámara de Representantes</t>
  </si>
  <si>
    <t xml:space="preserve">3/1 to 6/30 </t>
  </si>
  <si>
    <t>9/1 to 12/31</t>
  </si>
  <si>
    <t>Alles, Santiago M. (2009). "Elección de mujeres, sistema electoral y cuotas de género en las provincias Argentinas." Paper prepared for the Annual Congress of the Latin American Studies Association, Rio de Janeiro, 11-14 June</t>
  </si>
  <si>
    <t>Atlas Electoral de Andy Tow, 2014</t>
  </si>
  <si>
    <t>Calculated from Atlas Electoral de Andy Tow, 2014</t>
  </si>
  <si>
    <t>Name of unicameral or lower legislative house</t>
  </si>
  <si>
    <t>Nº seats to largest party in 2013 or most recent elec</t>
  </si>
  <si>
    <t>Nº seats to 2º largest party in 2013 or most recent elec</t>
  </si>
  <si>
    <t>Nº seats to 3º largest party in 2013 or most recent elec</t>
  </si>
  <si>
    <t>Nº seats to 4º largest party in 2013 or most recent elec</t>
  </si>
  <si>
    <t>Nº seats to 5º largest party in 2013 or most recent elec</t>
  </si>
  <si>
    <t>Nº seats to 6º largest party in 2013 or most recent elec</t>
  </si>
  <si>
    <t>Nº seats to 7º largest party in 2013 or most recent elec</t>
  </si>
  <si>
    <t>Nº seats to 8º largest party in 2013 or most recent elec</t>
  </si>
  <si>
    <t>Nº seats to 9º largest party in 2013 or most recent elec</t>
  </si>
  <si>
    <t>Nº seats to 10º largest party in 2013 or most recent elec</t>
  </si>
  <si>
    <t>Provincial Legis</t>
  </si>
  <si>
    <t>competitiveness</t>
  </si>
  <si>
    <t>Women Deputies</t>
  </si>
  <si>
    <t>Total prov seats</t>
  </si>
  <si>
    <t>Prov uni/lh seats</t>
  </si>
  <si>
    <t>women deps #</t>
  </si>
  <si>
    <t>women deps %</t>
  </si>
  <si>
    <t>Min Int 2010</t>
  </si>
  <si>
    <t>Number of provincial legislative seats (lower house only if bicameral)</t>
  </si>
  <si>
    <t>Women's share of provincial legislative seats (lower house only if bicameral)</t>
  </si>
  <si>
    <t>Santa Fé</t>
    <phoneticPr fontId="0"/>
  </si>
  <si>
    <t>Deputy Seats</t>
  </si>
  <si>
    <t>1984-1999: Source 23: Atlas Electoral de Andy Tow; 2000-2014: Diarios de Sesiones</t>
  </si>
  <si>
    <t>1984-1997: Source 23: Atlas Electoral de Andy Tow; Source 22: Calvo and Escolar 2005: 145-152; 1998-2014: Diarios de Sesiones. 1984-2008 confirmed by CABA 2009</t>
  </si>
  <si>
    <t>1984-2003: Source 22: Calvo and Escolar 2005: 145-152; 2004-2014: Source 23: Atlas Electoral de Andy Tow</t>
  </si>
  <si>
    <t>1984-2000: Biblioteca Legislativa, Poder Legislativo de la Provincia del Chaco (2002). "Reseña Historica." April. Accessed 11 July 2014 at http://www.legislaturachaco.gov.ar/documentospdf/BIBLIOTECA-LEGISLADORES-naranja.pdf 2001-2014: Diarios de Sesiones, usually first session in March. Accessed 27 June 2014 at http://www.legislaturachaco.gov.ar/al-versiones-taquigraficas.php Ley 3009 /// 25 September 1984 raised the number of legislative seats from 30 to 32 beginning with the provincial deputy election of 3 November 1985, in which 16 seats were up for election (http://www.electoralchaco.gov.ar/index.php?option=com_content&amp;view=article&amp;id=53&amp;catid=18&amp;Itemid=111).</t>
  </si>
  <si>
    <t>1984-2014: Proclamaciones de la Tribuna Electoral</t>
  </si>
  <si>
    <t>1984-2003: Source 22: Calvo and Escolar 2005: 145-152, Source 23: Atlas Electoral de Andy Tow; 2004-2014: Source 23: Atlas Electoral de Andy Tow</t>
  </si>
  <si>
    <t>1984-2003: Source 22: Calvo and Escolar 2005: 145-152, Source 23: Atlas Electoral de Andy Tow; 2004-2013: Source 23: Atlas Electoral de Andy Tow; 2014: Law No. 6186 of 28 Nov. 2012, accessed July 2, 2014, at http://alertas.directoriolegislativo.org/wp-content/uploads/2013/09/Ley6186.doc, and http://www.hcdcorrientes.gov.ar/diputados/diputados.htm accessed 7 July 2014</t>
  </si>
  <si>
    <t>1984-2001: Source 22: Calvo and Escolar 2005: 145-152, Source 23: Atlas Electoral de Andy Tow; 2002-2014: Diarios de Sesiones</t>
  </si>
  <si>
    <t>1984-2003: Source 22: Calvo and Escolar 2005: 145-152, Source 23: Atlas Electoral de Andy Tow; 2004-2014: Diarios de Sesiones</t>
  </si>
  <si>
    <t>1984-2014: Complete lists of current and former deputies 1984-2015, including changes within 4-year periods. Accessed 30 June 2014 at http://www.legislatura.lapampa.gob.ar/diputados-as-anteriores.html and http://www.legislatura.lapampa.gob.ar/diputados-as-alfabetico.html. Confirmed by Source 23: Atlas Electoral de Andy Tow.</t>
  </si>
  <si>
    <t xml:space="preserve">1984-2003: Source 22: Calvo and Escolar 2005: 145-152, Source 23: Atlas Electoral de Andy Tow; 2004-2009: http://www.poderlocal.net/leer_noticias.asp?ID=48319; 2010-2014: La Rioja Constitution of 2008, Article 87 and Transitory Clause 4. </t>
  </si>
  <si>
    <t>1984-2002: Source 22: Calvo and Escolar 2005: 145-152, Source 23: Atlas Electoral de Andy Tow; 2003-2014: Diarios de Sesiones</t>
  </si>
  <si>
    <t xml:space="preserve">1984-2014: "Composiciones Anteriores": Link in the "institutucional"" bucket on the home page of the Camara de Representantes, Provincia de Misiones, accessed July 2014 at http://www.diputadosmisiones.gob.ar/content.php?id_category=20 </t>
  </si>
  <si>
    <t>1984-1997: Source 22: Calvo and Escolar 2005: 145-152 2005; Source 23: Atlas Electoral de Andy Tow; 1998-2014: Diarios de Sesiones</t>
  </si>
  <si>
    <t>1984-1999: Source 22: Calvo and Escolar 2005: 145-152 2005; Source 23: Atlas Electoral de Andy Tow; 2000-2014: Diarios de Sesiones</t>
  </si>
  <si>
    <t>1984-2009: Ramos, Alicia, and Verónica Spaventa (2010). "De derechos y participación política de las mujeres de Salta." In María Silvia Varg, ed., Las mujeres y el Bicentenario. Salta: Mundo Gráfico Salta Editorial, 117-148, p. 134, provide data for even-numbered years 1984-2008. Alicia Ramos was Asesora en la Comisión de Educación de la Cámara de Diputados Concejal de la Ciudad de Salta donde presidió la Comisión de la Mujer y la Juventud, so it is presumed that these figures are as reliable as an independent count based on Diarios de Sesiones. 2008, 2010: Cámara de Diputados de Salta press releases (Comunicaciónes Institucionales) accessed 8 July 2014 at  http://prensadiputados.blogspot.com/2007/12/acto.html and http://prensadiputados.blogspot.com/2009/11/juramento-y-sesion-preparatoria_24.html. 2012, 2013, 2014: Diarios de Sesiones de la Camara de Diputados de la Provincia de Salta 3 April 2012, 9 April 2013, and 8 April 2014.</t>
  </si>
  <si>
    <t>1984-1991: Source 21. 1992-2014: Source 23: Atlas Electoral de Andy Tow.</t>
  </si>
  <si>
    <t>1984-2003: Source 22: Calvo and Escolar 2005: 145-152, Source 23: Atlas Electoral de Andy Tow; 2004-2013: Source 23: Atlas Electoral de Andy Tow.</t>
  </si>
  <si>
    <t>1984-2003: Source 22: Calvo and Escolar 2005: 145-152, Source 23: Atlas Electoral de Andy Tow; 2004-2011: Source 23: Atlas Electoral de Andy Tow; 2012-2014: http://www.econoblog.com.ar/14304/elecciones-2011-¿que-se-vota-el-23-de-octubre/</t>
  </si>
  <si>
    <t>1984-2005: Source 22: Calvo and Escolar 2005: 145-152, Source 23: Atlas Electoral de Andy Tow; 2006-2014: Diarios de Sesiones</t>
  </si>
  <si>
    <t>1984-2003: Source 22: Calvo and Escolar 2005: 145-152, Source 23: Atlas Electoral de Andy Tow; 2004-2007: Source 23: Atlas Electoral de Andy Tow; 2008-2014: Source 23: Atlas Electoral de Andy Tow; 2008 Provincial constitution; http://www.poderlocal.net/leer_noticias.asp?ID=43394</t>
  </si>
  <si>
    <t>1984-1989: Source 22: Calvo and Escolar 2005: 145-152, Source 23: Atlas Electoral de Andy Tow; 1990-2014: Diarios de Sesiones</t>
  </si>
  <si>
    <t>Sources</t>
  </si>
  <si>
    <t>quotamonth</t>
  </si>
  <si>
    <t>quotadatebarnes</t>
  </si>
  <si>
    <t>quotadateP12</t>
  </si>
  <si>
    <t>quotaeffectbarnes</t>
  </si>
  <si>
    <t>1992-2003</t>
  </si>
  <si>
    <t>% female in prov leg 2014</t>
  </si>
  <si>
    <t>Difference: female % minus quota %</t>
  </si>
  <si>
    <t>mandate</t>
  </si>
  <si>
    <t>sanction</t>
  </si>
  <si>
    <t>female</t>
  </si>
  <si>
    <t>diff</t>
  </si>
  <si>
    <t>McGuire Women in Argentine Provincial Legislature Database, Table 16</t>
  </si>
  <si>
    <t>Barnes, Tiffany D. "Gender Quotas and the Representation of Women: Empowerment, Decision-Making, and Public Policy." PhD Diss., Department of Political Science, Rice University, 2012, p. 3; Confirmed by Colotta, Mariana (2007). "Dirigentes argentinas: trayectorias y prácticas de las que se animaron a perforar el techo de cristal in el ámbito político en los últimos quince años." IDISCO {Instituto de Investiaciones en Ciencias Sociales, Universidad del Salvador, Buenos Aires. July, pp. 16-17.</t>
  </si>
  <si>
    <t>Barnes, Tiffany D. "Gender Quotas and the Representation of Women: Empowerment, Decision-Making, and Public Policy." PhD Diss., Department of Political Science, Rice University, 2012, p. 3</t>
  </si>
  <si>
    <t>Barnes, Tiffany D. "Gender Quotas and the Representation of Women: Empowerment, Decision-Making, and Public Policy." PhD Diss., Department of Political Science, Rice University, 2012, p. 3. Entre Ríos figure from http://www.pagina12.com.ar/diario/suplementos/las12/13-6444-2011-04-19.html</t>
  </si>
  <si>
    <t>Calculated from Barnes 2012: 3 and McGuire Women in Argentine Provincial Legislature Database, Table 16</t>
  </si>
  <si>
    <t>Sanctions for non-compliance in 2014</t>
  </si>
  <si>
    <t>Placement mandate for quota in 2014</t>
  </si>
  <si>
    <t>Granara 2014</t>
  </si>
  <si>
    <t>McGuire 2014</t>
  </si>
  <si>
    <r>
      <rPr>
        <i/>
        <sz val="9"/>
        <rFont val="Times"/>
        <family val="1"/>
      </rPr>
      <t>Página Doce</t>
    </r>
    <r>
      <rPr>
        <sz val="9"/>
        <rFont val="Times"/>
        <family val="1"/>
      </rPr>
      <t xml:space="preserve"> 19 April 2011. Accessed July 2014 at http://www.pagina12.com.ar/diario/suplementos/las12/13-6444-2011-04-19.html</t>
    </r>
  </si>
  <si>
    <t>Granara, Aixa (2014). "Representación legislativa de las mujeres en las provincias argentinas, 1989-2011." América Latina Hoy 66, p. 122</t>
  </si>
  <si>
    <t>NATDEP#F05</t>
  </si>
  <si>
    <t>POVN1992S1</t>
  </si>
  <si>
    <t>Percentage of the popuation in households below the national poverty line, INDEC, Oct 2001</t>
  </si>
  <si>
    <t>1992 Oct</t>
  </si>
  <si>
    <t>1992 May</t>
  </si>
  <si>
    <t>Percentage of the popuation in households below the national poverty line, INDEC, May 1992</t>
  </si>
  <si>
    <t>Percentage of the popuation in households below the national poverty line, INDEC, Oct 1992</t>
  </si>
  <si>
    <t>POVN1992S2</t>
  </si>
  <si>
    <t>Mirab Nanni 2005</t>
  </si>
  <si>
    <t>1993 May</t>
  </si>
  <si>
    <t>1993 Oct</t>
  </si>
  <si>
    <t>Percentage of the popuation in households below the national poverty line, INDEC, May 1993</t>
  </si>
  <si>
    <t>Percentage of the popuation in households below the national poverty line, INDEC, Oct 1993</t>
  </si>
  <si>
    <t>POVN1993S1</t>
  </si>
  <si>
    <t>POVN1993S2</t>
  </si>
  <si>
    <t>POVN1994S2</t>
  </si>
  <si>
    <t>1994 May</t>
  </si>
  <si>
    <t>1994 Oct</t>
  </si>
  <si>
    <t>Percentage of the popuation in households below the national poverty line, INDEC, May 1994</t>
  </si>
  <si>
    <t>Percentage of the popuation in households below the national poverty line, INDEC, Oct 1994</t>
  </si>
  <si>
    <t>POVN1994S1</t>
  </si>
  <si>
    <t>1995 May</t>
  </si>
  <si>
    <t>1995 Oct</t>
  </si>
  <si>
    <t>Percentage of the popuation in households below the national poverty line, INDEC, May 1995</t>
  </si>
  <si>
    <t>Percentage of the popuation in households below the national poverty line, INDEC, Oct 1995</t>
  </si>
  <si>
    <t>POVN1995S1</t>
  </si>
  <si>
    <t>POVN1995S2</t>
  </si>
  <si>
    <t>1996 May</t>
  </si>
  <si>
    <t>1996 Oct</t>
  </si>
  <si>
    <t>Percentage of the popuation in households below the national poverty line, INDEC, May 1996</t>
  </si>
  <si>
    <t>Percentage of the popuation in households below the national poverty line, INDEC, Oct 1996</t>
  </si>
  <si>
    <t>POVN1996S1</t>
  </si>
  <si>
    <t>POVN1996S2</t>
  </si>
  <si>
    <t>1997 May</t>
  </si>
  <si>
    <t>1997 Oct</t>
  </si>
  <si>
    <t>Percentage of the popuation in households below the national poverty line, INDEC, May 1997</t>
  </si>
  <si>
    <t>Percentage of the popuation in households below the national poverty line, INDEC, Oct 1997</t>
  </si>
  <si>
    <t>POVN1997S1</t>
  </si>
  <si>
    <t>POVN1997S2</t>
  </si>
  <si>
    <t>1998 May</t>
  </si>
  <si>
    <t>1998 Oct</t>
  </si>
  <si>
    <t>Percentage of the popuation in households below the national poverty line, INDEC, May 1998</t>
  </si>
  <si>
    <t>Percentage of the popuation in households below the national poverty line, INDEC, Oct 1998</t>
  </si>
  <si>
    <t>POVN1998S1</t>
  </si>
  <si>
    <t>POVN1998S2</t>
  </si>
  <si>
    <t>1999 May</t>
  </si>
  <si>
    <t>1999 Oct</t>
  </si>
  <si>
    <t>Percentage of the popuation in households below the national poverty line, INDEC, May 1999</t>
  </si>
  <si>
    <t>Percentage of the popuation in households below the national poverty line, INDEC, Oct 1999</t>
  </si>
  <si>
    <t>POVN1999S1</t>
  </si>
  <si>
    <t>POVN1999S2</t>
  </si>
  <si>
    <t>2000 May</t>
  </si>
  <si>
    <t>2000 Oct</t>
  </si>
  <si>
    <t>Percentage of the popuation in households below the national poverty line, INDEC, May 2000</t>
  </si>
  <si>
    <t>Percentage of the popuation in households below the national poverty line, INDEC, Oct 2000</t>
  </si>
  <si>
    <t>POVN2000S1</t>
  </si>
  <si>
    <t>POVN2000S2</t>
  </si>
  <si>
    <t>Percentage of the popuation in households below the national poverty line, INDEC, May 2001</t>
  </si>
  <si>
    <t>POVN2001S1</t>
  </si>
  <si>
    <t>POVN2001S2</t>
  </si>
  <si>
    <t>Percentage of the popuation in households below the national poverty line, INDEC, May 2002</t>
  </si>
  <si>
    <t>Percentage of the popuation in households below the national poverty line, INDEC, Oct 2002</t>
  </si>
  <si>
    <t>POVN2002S1</t>
  </si>
  <si>
    <t>POVN2002S2</t>
  </si>
  <si>
    <t>2003 Oct</t>
  </si>
  <si>
    <t>Percentage of the popuation in households below the national poverty line, INDEC, May 2003</t>
  </si>
  <si>
    <t>Percentage of the popuation in households below the national poverty line, INDEC, Oct 2003</t>
  </si>
  <si>
    <t>POVN2003S1</t>
  </si>
  <si>
    <t>POVN2003S2</t>
  </si>
  <si>
    <t>2004 May</t>
  </si>
  <si>
    <t>2004 Oct</t>
  </si>
  <si>
    <t>Percentage of the popuation in households below the national poverty line, INDEC, May 2004</t>
  </si>
  <si>
    <t>Percentage of the popuation in households below the national poverty line, INDEC, Oct 2004</t>
  </si>
  <si>
    <t>POVN2004S1</t>
  </si>
  <si>
    <t>POVN2004S2</t>
  </si>
  <si>
    <t>Mirabella, María Cristina, et al. "La pobreza y sus causas en Argentina (1992-2004)." Paper prepared for 3ras Jornadas
Regionales de Economía y Sociedad del NOA (Jujuy, 13 y 14 de octubre de 2005), p. 15. Accessed October 3, 2014, at http://idela.org.ar/contenidos/publicaciones/la_pobreza_en_argentina.pdf</t>
  </si>
  <si>
    <t>Notes</t>
  </si>
  <si>
    <t xml:space="preserve">Original Sources: Encuesta Permanente de Hogares and Universidad Nacional La Plata. From 1992 to 2002 the data are from the May and October surveys; for 2003 and 2004 they are for the 2nd and 4th Quarters. No data for Capital Federal or Río Negro. Data are for the largest metropolitan area in each province. For Buenos Aires, figure for each year is a 2001 population-weighted average of  Gran Buenos Aires (90.1%), La Plata (7.1%), and Bahia Blanca (2.8%) </t>
  </si>
  <si>
    <t>Porto, Alberto, Director (2004). Disparidades regionales y federalismo fiscal. La Plata, Argentina: Editorial de la Universidad de La Plata, p. 306. Accessed December 21, 2009, at http://www.depeco.econo.unlp.edu.ar/federalismo/default.htm</t>
  </si>
  <si>
    <t>Pesos</t>
  </si>
  <si>
    <t>Total per capita</t>
  </si>
  <si>
    <t>Total % GPP</t>
  </si>
  <si>
    <t>Admin per capita</t>
  </si>
  <si>
    <t>Secur per capita</t>
  </si>
  <si>
    <t>Health per capita</t>
  </si>
  <si>
    <t>Educ per capita</t>
  </si>
  <si>
    <t>Welf per capita</t>
  </si>
  <si>
    <t>Devel per capita</t>
  </si>
  <si>
    <t>Health</t>
  </si>
  <si>
    <t>Porto, Alberto, Director (2004). Disparidades regionales y federalismo fiscal. La Plata, Argentina: Editorial de la Universidad de La Plata, p. 309. Accessed December 21, 2009, at http://www.depeco.econo.unlp.edu.ar/federalismo/default.htm</t>
  </si>
  <si>
    <t>SPHPCP59 divided by SPTPCP59 (provincial public spending on health per capita, 1959, divided by provincial public spending in total per capita, 1959).</t>
  </si>
  <si>
    <t>SPHPCP70 divided by SPTPCP70 (provincial public spending on health per capita, 1970, divided by provincial public spending in total per capita, 1970).</t>
  </si>
  <si>
    <t>SPHPCP80 divided by SPTPCP80 (provincial public spending on health per capita, 1980, divided by provincial public spending in total per capita, 1980).</t>
  </si>
  <si>
    <t>SPHPCP91 divided by SPTPCP91 (provincial public spending on health per capita, 1991, divided by provincial public spending in total per capita, 1991).</t>
  </si>
  <si>
    <t>SPHPCP00 divided by SPTPCP00 (provincial public spending on health per capita, 2000, divided by provincial public spending in total per capita, 2000).</t>
  </si>
  <si>
    <t>Calculated from Porto, Alberto, Director (2004). Disparidades regionales y federalismo fiscal. La Plata, Argentina: Editorial de la Universidad de La Plata, p. 309. Accessed December 21, 2009, at http://www.depeco.econo.unlp.edu.ar/federalismo/default.htm</t>
  </si>
  <si>
    <t>Arg</t>
  </si>
  <si>
    <t>PUBSPHMI93</t>
  </si>
  <si>
    <t>PUBSPHMI94</t>
  </si>
  <si>
    <t>PUBSPHMI95</t>
  </si>
  <si>
    <t>PUBSPHMI96</t>
  </si>
  <si>
    <t>PUBSPHMI97</t>
  </si>
  <si>
    <t>PUBSPHMI98</t>
  </si>
  <si>
    <t>PUBSPHMI99</t>
  </si>
  <si>
    <t>PUBSPHMI00</t>
  </si>
  <si>
    <t>PUBSPHMI01</t>
  </si>
  <si>
    <t>PUBSPHMI02</t>
  </si>
  <si>
    <t>PUBSPHMI03</t>
  </si>
  <si>
    <t>PUBSPHMI04</t>
  </si>
  <si>
    <t>PUBSPHMI05</t>
  </si>
  <si>
    <t>PUBSPHMI06</t>
  </si>
  <si>
    <t>PUBSPHMI07</t>
  </si>
  <si>
    <t>PUBSPHMI08</t>
  </si>
  <si>
    <t>PUBSPHMI09</t>
  </si>
  <si>
    <t>PUBSPHMI91</t>
  </si>
  <si>
    <t>PUBSPHMI92</t>
  </si>
  <si>
    <t>Calculated from Argentina. Ministerio de Economia. Dirección Nacional de Política Macroeconomica. "Gasto Público de los Gobiernos Provinciales y del Gobierno de la Ciudad de Buenos Aires, por provincia (1993-2009)." Accessed October 4, 2014, at http://www.mecon.gov.ar/peconomica/basehome/serie_gasto.html</t>
  </si>
  <si>
    <t>El gasto se encuentra sujeto al proceso de consolidación, por lo que las transferencias de fondos entre niveles de gobierno se descuentan del nivel que las financia para ser incluidas en el que las ejecuta. Cifras provisionales sujetas a revisión. Fuente: Dirección de Análisis de Gasto Público y Programas Sociales - Secretaría de Política Económica. Figure for each year is total provincial health spending divided by total provincial public spending (both figures in millions of presumably current pesos)</t>
  </si>
  <si>
    <t>Data are just percentages given in the Ministry of the Interior province-by-province spreadsheets with filenames like "La_Rioja_F.xls" and headed "Situacion Fiscal y Financiera." Ministry of the Economy figures are to be preferred.</t>
  </si>
  <si>
    <t>Data appear to be identical to the Ministry of the Interior data for 1991-2004</t>
  </si>
  <si>
    <t>PUBSPHCH91</t>
  </si>
  <si>
    <t>PUBSPHCH92</t>
  </si>
  <si>
    <t>PUBSPHCH93</t>
  </si>
  <si>
    <t>PUBSPHCH94</t>
  </si>
  <si>
    <t>PUBSPHCH95</t>
  </si>
  <si>
    <t>PUBSPHCH96</t>
  </si>
  <si>
    <t>PUBSPHCH97</t>
  </si>
  <si>
    <t>PUBSPHCH98</t>
  </si>
  <si>
    <t>PUBSPHCH99</t>
  </si>
  <si>
    <t>PUBSPHCH00</t>
  </si>
  <si>
    <t>PUBSPHCH01</t>
  </si>
  <si>
    <t>PUBSPHCH02</t>
  </si>
  <si>
    <t>PUBSPHCH03</t>
  </si>
  <si>
    <t>PUBSPHCH04</t>
  </si>
  <si>
    <t>PUBSPHPO59</t>
  </si>
  <si>
    <t>PUBSPHPO70</t>
  </si>
  <si>
    <t>PUBSPHPO80</t>
  </si>
  <si>
    <t>PUBSPHPO91</t>
  </si>
  <si>
    <t>PUBSPHPO00</t>
  </si>
  <si>
    <t>Births in health facilities as a share of all births, 1984</t>
  </si>
  <si>
    <t>Births in health facilities as a share of all births, 1985</t>
  </si>
  <si>
    <t>Births in health facilities as a share of all births, 1986</t>
  </si>
  <si>
    <t>Births in health facilities as a share of all births, 1987</t>
  </si>
  <si>
    <t>Births in health facilities as a share of all births, 1988</t>
  </si>
  <si>
    <t>Births in health facilities as a share of all births, 1989</t>
  </si>
  <si>
    <t>Births in health facilities as a share of all births, 1990</t>
  </si>
  <si>
    <t>Births in health facilities as a share of all births, 1991</t>
  </si>
  <si>
    <t>Births in health facilities as a share of all births, 1992</t>
  </si>
  <si>
    <t>Births in health facilities as a share of all births, 1993</t>
  </si>
  <si>
    <t>Births in health facilities as a share of all births, 1994</t>
  </si>
  <si>
    <t>Births in health facilities as a share of all births, 1995</t>
  </si>
  <si>
    <t>Births in health facilities as a share of all births, 1996</t>
  </si>
  <si>
    <t>Births in health facilities as a share of all births, 1997</t>
  </si>
  <si>
    <t>Births in health facilities as a share of all births, 1998</t>
  </si>
  <si>
    <t>Births in health facilities as a share of all births, 1999</t>
  </si>
  <si>
    <t>Births in medical facilities as a share of all births, 2000</t>
  </si>
  <si>
    <t>Births in medical facilities as a share of all births, 2001</t>
  </si>
  <si>
    <t>Births in medical facilities as a share of all births, 2002</t>
  </si>
  <si>
    <t>Births in medical facilities as a share of all births, 2003</t>
  </si>
  <si>
    <t>Births in medical facilities as a share of all births, 2004</t>
  </si>
  <si>
    <t>Births in medical facilities as a share of all births, 2005</t>
  </si>
  <si>
    <t>Births in medical facilities as a share of all births, 2006</t>
  </si>
  <si>
    <t>Births in medical facilities as a share of all births, 2007</t>
  </si>
  <si>
    <t>Births in medical facilities as a share of all births, 2008</t>
  </si>
  <si>
    <t>Births in medical facilities as a share of all births, 2009</t>
  </si>
  <si>
    <t>Births in medical facilities as a share of all births, 2010</t>
  </si>
  <si>
    <t>% births in facil</t>
  </si>
  <si>
    <t>BIRFAC84</t>
  </si>
  <si>
    <t>BIRFAC85</t>
  </si>
  <si>
    <t>BIRFAC86</t>
  </si>
  <si>
    <t>BIRFAC87</t>
  </si>
  <si>
    <t>BIRFAC88</t>
  </si>
  <si>
    <t>BIRFAC89</t>
  </si>
  <si>
    <t>BIRFAC90</t>
  </si>
  <si>
    <t>BIRFAC91</t>
  </si>
  <si>
    <t>BIRFAC92</t>
  </si>
  <si>
    <t>BIRFAC93</t>
  </si>
  <si>
    <t>BIRFAC94</t>
  </si>
  <si>
    <t>BIRFAC95</t>
  </si>
  <si>
    <t>BIRFAC96</t>
  </si>
  <si>
    <t>BIRFAC97</t>
  </si>
  <si>
    <t>BIRFAC98</t>
  </si>
  <si>
    <t>BIRFAC99</t>
  </si>
  <si>
    <t>BIRFAC2000</t>
  </si>
  <si>
    <t>BIRFAC2001</t>
  </si>
  <si>
    <t>BIRFAC2002</t>
  </si>
  <si>
    <t>BIRFAC2003</t>
  </si>
  <si>
    <t>BIRFAC2004</t>
  </si>
  <si>
    <t>BIRFAC2005</t>
  </si>
  <si>
    <t>BIRFAC2006</t>
  </si>
  <si>
    <t>BIRFAC2007</t>
  </si>
  <si>
    <t>BIRFAC2008</t>
  </si>
  <si>
    <t>BIRFAC2009</t>
  </si>
  <si>
    <t>BIRFAC2010</t>
  </si>
  <si>
    <t>BIROUT84</t>
  </si>
  <si>
    <t>BIROUT85</t>
  </si>
  <si>
    <t>BIROUT86</t>
  </si>
  <si>
    <t>BIROUT87</t>
  </si>
  <si>
    <t>BIROUT88</t>
  </si>
  <si>
    <t>BIROUT89</t>
  </si>
  <si>
    <t>BIROUT90</t>
  </si>
  <si>
    <t>BIROUT91</t>
  </si>
  <si>
    <t>BIROUT92</t>
  </si>
  <si>
    <t>BIROUT93</t>
  </si>
  <si>
    <t>BIROUT94</t>
  </si>
  <si>
    <t>BIROUT95</t>
  </si>
  <si>
    <t>BIROUT96</t>
  </si>
  <si>
    <t>BIROUT97</t>
  </si>
  <si>
    <t>BIROUT98</t>
  </si>
  <si>
    <t>BIROUT99</t>
  </si>
  <si>
    <t>BIROUT2000</t>
  </si>
  <si>
    <t>BIROUT2001</t>
  </si>
  <si>
    <t>BIROUT2002</t>
  </si>
  <si>
    <t>BIROUT2003</t>
  </si>
  <si>
    <t>BIROUT2004</t>
  </si>
  <si>
    <t>BIROUT2005</t>
  </si>
  <si>
    <t>BIROUT2006</t>
  </si>
  <si>
    <t>BIROUT2007</t>
  </si>
  <si>
    <t>BIROUT2008</t>
  </si>
  <si>
    <t>BIROUT2009</t>
  </si>
  <si>
    <t>BIROUT2010</t>
  </si>
  <si>
    <t>BIRHOM84</t>
  </si>
  <si>
    <t>BIRHOM85</t>
  </si>
  <si>
    <t>BIRHOM86</t>
  </si>
  <si>
    <t>BIRHOM87</t>
  </si>
  <si>
    <t>BIRHOM88</t>
  </si>
  <si>
    <t>BIRHOM89</t>
  </si>
  <si>
    <t>BIRHOM90</t>
  </si>
  <si>
    <t>BIRHOM91</t>
  </si>
  <si>
    <t>BIRHOM92</t>
  </si>
  <si>
    <t>BIRHOM93</t>
  </si>
  <si>
    <t>BIRHOM94</t>
  </si>
  <si>
    <t>BIRHOM95</t>
  </si>
  <si>
    <t>BIRHOM96</t>
  </si>
  <si>
    <t>BIRHOM97</t>
  </si>
  <si>
    <t>BIRHOM98</t>
  </si>
  <si>
    <t>BIRHOM99</t>
  </si>
  <si>
    <t>BIRHOM2000</t>
  </si>
  <si>
    <t>BIRHOM2001</t>
  </si>
  <si>
    <t>BIRHOM2002</t>
  </si>
  <si>
    <t>BIRHOM2003</t>
  </si>
  <si>
    <t>BIRHOM2004</t>
  </si>
  <si>
    <t>BIRHOM2005</t>
  </si>
  <si>
    <t>BIRHOM2006</t>
  </si>
  <si>
    <t>BIRHOM2007</t>
  </si>
  <si>
    <t>BIRHOM2008</t>
  </si>
  <si>
    <t>BIRHOM2009</t>
  </si>
  <si>
    <t>BIROUT2011</t>
  </si>
  <si>
    <t>BIRFAC2011</t>
  </si>
  <si>
    <t>Births in medical facilities as a share of all births, 2011</t>
  </si>
  <si>
    <t>Table of Contents</t>
  </si>
  <si>
    <t>GPPpercapita</t>
  </si>
  <si>
    <t>Electricity</t>
  </si>
  <si>
    <t>Inequality</t>
  </si>
  <si>
    <t>PovertyAnnual</t>
  </si>
  <si>
    <t>PovertySemesters</t>
  </si>
  <si>
    <t>Employment</t>
  </si>
  <si>
    <t>PublicSpendHealth</t>
  </si>
  <si>
    <t>PublicSpendNonHealth</t>
  </si>
  <si>
    <t>HealthSpPubVsPriv</t>
  </si>
  <si>
    <t>BirthAttendance</t>
  </si>
  <si>
    <t>WaterSanitHous</t>
  </si>
  <si>
    <t>Education</t>
  </si>
  <si>
    <t>Geography</t>
  </si>
  <si>
    <t>ProvLegInstit</t>
  </si>
  <si>
    <t>ProvDepsTurnout</t>
  </si>
  <si>
    <t>ProvDepsPJPluralityVote</t>
  </si>
  <si>
    <t>ProvDepsGenderQuota</t>
  </si>
  <si>
    <t>Back to Table of Contents</t>
  </si>
  <si>
    <t>Barnes, Tiffany D. "Gender Quotas and the Representation of Women: Empowerment, Decision-Making, and Public Policy." PhD Diss., Department of Political Science, Rice University, 2012, p. 3.</t>
  </si>
  <si>
    <t>* -error in original; the first deputy election after March 1996 in Neuquén was 26 Sep. 1999.
** -error in original; the first deputy election after June 1993 in Río Negro was 14 May 1995.
*** -error in original; the first deputy election after May 1992 in Santa Fé was 3 September 1995.</t>
  </si>
  <si>
    <t>* -error in original; the first election after March 1996 in Neuquén was 26 Sep. 1999.
** -error in original; the first deputy election after May 1992 in Santa Fé was 3 September 1995.</t>
  </si>
  <si>
    <t>quotapct9203</t>
  </si>
  <si>
    <t>quotapct2014</t>
  </si>
  <si>
    <t>McGuire, James W. (2014). Women in Argentine Provincial Legislature Database, Table 11. For the original source, go to the rightmost column of this worksheet</t>
  </si>
  <si>
    <t># time per (t)</t>
  </si>
  <si>
    <t>intv</t>
  </si>
  <si>
    <t>Mean of 24</t>
  </si>
  <si>
    <t>count</t>
  </si>
  <si>
    <t>n*t</t>
  </si>
  <si>
    <t>% n*t</t>
  </si>
  <si>
    <t>Nº Provinces with data (n)</t>
  </si>
  <si>
    <t>Purple data for 1992 calculated from percentage figures in Source 7.</t>
  </si>
  <si>
    <t>Turquoise data (for La Rioja only) from Source 20, pp. 127-136.</t>
  </si>
  <si>
    <t>Blue data for 1999 from Source 17 (unpaginated)</t>
  </si>
  <si>
    <t>Blue data for 2000 from Source 8, p. 17</t>
  </si>
  <si>
    <t>Blue data for 2002 (Santiago del Estero) from Source 17 (unpaginated)</t>
  </si>
  <si>
    <t>Blue data for 2004 from Source 8, p. 3</t>
  </si>
  <si>
    <t>Blue data for 2005 (Santiago del Estero only) are from Source 8 ("Los diputados de Santiago del Estero asumieron el 7 de abril de 2005, a partir de las elecciones efectuadas el 27 de febrero de este año, luego de la normalización institucional producida por el fin de la intervención a la provincia")</t>
  </si>
  <si>
    <t>Blue data for 2007 from from Source 4, p. 24.</t>
  </si>
  <si>
    <t>Blue data for 2008 from Source 13, p. 81. La Rioja: Periodical source says that there were 2 female provincial deputies as of 19 July 2009, Camila Herrera y Sara Barrera. http://www.poderlocal.net/leer_noticias.asp?ID=48884</t>
  </si>
  <si>
    <t>Purple data from 2010 (for Santiago del Estero only) calculated from percentage figures in Source 6, p. 8. This figure of 50% for 2010 is also recorded in Source 1.</t>
  </si>
  <si>
    <t>Purple data from Source 14, p. 11. Caminotti 2012 (Source 14) preferred to Granara 2014 (Source 20) because its figures come as numeric estimates rather than as graphs, and because when the percentages are divided by the number of legislators, they usually come out nearer to whole numbers for the Caminotti 2012 than the Granara 2014 data (Catamarca: 6.15 to 4.10; Entre Ríos: 1.99 vs. 1.96; Mendoza: 8.02 to 11.52, San Luis: 6.15 to 4.73; Santa Cruz: 1.99 to 5.04; Río Negro: 11.01 to 11.18; Santiago del Estero: 8.19 to 4.05; and Tucumán: 9.00 to 8.80).</t>
  </si>
  <si>
    <t>Source 1: Argentina. Ministerio del Interior. Secretaría de Provincias (2010). "Información de Provincias." Updated February 27, 2010. Accessed March 8, 2010, at http://www.mininterior.gov.ar/provincias/provincias.php?idName=provincias&amp;idNameSubMenu=&amp;idNameSubMenuDer=</t>
  </si>
  <si>
    <t>Source 2: Argentina. Ministerio del Interior y Transporte. Secretaría de Provincias (2013). "Información de Provincias." Updated January 7, 2013. Accessed January 12, 2013, at http://www.mininterior.gov.ar/provincias/provincias.php?idName=provincias&amp;idNameSubMenu=&amp;idNameSubMenuDer=</t>
  </si>
  <si>
    <t>Source 3: Instituto Social y Político de la Mujer, "Mujeres en Lugares de Decisión en Argentina," n.d., pp. 3, 17. Accessed March 18, 2011, at http://www.ispm.org.ar/casos_datos_equidad.html</t>
  </si>
  <si>
    <t>Source 4: Caminotti, Mariana, "Derribar los muros indebidos: Reflexiones en torno de las leyes de cupo femenino in Argentina, Aportes No. 25 (2009?), p. 24.</t>
  </si>
  <si>
    <t>Source 5: Colotta, Mariana (2007). "Dirigentes argentinas: trayectorias y prácticas de las que se animaron a perforar el techo de cristal in el ámbito político en los últimos quince años." IDISCO {Instituto de Investiaciones en Ciencias Sociales, Universidad del Salvador, Buenos Aires. July, pp. 16-17.</t>
  </si>
  <si>
    <t>Source 6: Equipo Latinoamericano de Justicia y Genero (2011). "La participación de las mujeres en las legislalturas argentinas: ¿una cuenta saldada?" (Febrero), p. 8. "Buenos Aires, Catamarca, Corrientes, Mendoza, Misiones, Salta, Santa Fe y San Luis son legislaturas bicamerales, y para esos casos, los cálculos se realizaron sobre el total de las bancas de ambas cámaras." Accordingly the figures for those eight provinces were not used. Accessed January 14, 2013, at http://www.cnm.gov.ar/generarigualdad/index.php?option=com_content&amp;view=article&amp;id=396:la-participacion-de-las-mujeres-en-las-legislaturas-argentinas-iuna-cuenta-saldada&amp;catid=298:investigaciones-y-estadisticas&amp;Itemid=115</t>
  </si>
  <si>
    <t>Source 7: Caminotti, Mariana, and Jennifer Piscopo (2010). "Women in Provincial Legislatures," a dataset for Argentina from 1991 to 2007. Kindly sent by Jennifer Piscopo, Visiting Fellow, Center for US-Mexican Studies, UCSD, as an email attachment on February 10, 2010.</t>
  </si>
  <si>
    <t>Source 9: Lubertino, María José. "La participación política de las mujeres y la Ley de Cupos en Argentina." In Participación Ciudadana, Las Reformas Electorales Pendientes: Organos electorales, listas de candidaturas y cuota femenina. Santo Domingo: Participación Ciudadana, 2005, p. 146. http://www.pciudadana.org/documentos/publicaciones/3_(2005)13.reformas_electorales_pendientes.pdf#page=119</t>
  </si>
  <si>
    <t>Source 10: Hinojosa, Magda. "Argentina's Women: Don't Cry for Us," pp. 211-230 in Vol. 2: Country Profiles of Gelb, Joyce, and Marian Leaf Palley, eds., (2009). Women and Politics Around the World: A Comparative History and Survey." Santa Barbara, CA: ABC-CLIO, p. 220</t>
  </si>
  <si>
    <t>Source 11: Martínez, María Antonia, and Antonio Garrido, De la política de la presencia a la política de la diferencia: Representación de las mujeres en cuatro parlamentos nacionales (México, Chile, Argentina y Uruguay). Barcelona: CIDOB Ediciones, 2010, p. 64. Accessed January 14, 2010, at http://www.cidob.org/en/publications/</t>
  </si>
  <si>
    <t>Source 14: Caminotti, Mariana. "Dos décadas de leyes de cuota: avances y retos para la participación política de las mujeres." In Natalia Gherardi, ed., Lidera: Participación en democracia. Experiencias de mujeres en el ámbito social y político en la Argentina. Avellaneda: Equipo Latinoamericano de Justicia y Género, 2012, p. 111.</t>
  </si>
  <si>
    <t>Source 15: Mellado, María Virginia (n.d.). “Democracia y partidos políticos: una aproximación a los elencos dirigentes de Mendoza 1983-1991,” p. 16. Accessed July 22, 2014, at historiapolitica.com/datos/biblioteca/mellado.pdf</t>
  </si>
  <si>
    <t>Source 16: Pon, Maria Cecilia (2012). "Las mujeres y la política: Niveles de participación y ejercicio del poder en la Argentina." In Pablo Salinas, Coord., Publicación del equipo de Gestión Economica y Social 5. Buenos Aires: Editorial Dunken, 225-242, p. 236.</t>
  </si>
  <si>
    <t>Source 18: Berchi, Aixa (2013). "Perspectiva de género en los poderes legislativos provinciales. Un estudio sobre las legisladoras provinciales de todo el país, su importancia y representatividad," p. 9. Buenos Aires: Fundación de Democracia Estable. March. Accessed 28 Nov 2013 at http://www.fundacionds.org.ar/noticias/
archivos/4_representatividad_de_genero.pdf</t>
  </si>
  <si>
    <t>Source 19: Placanica, Nahuel (2012). "Cupo Femenino: Poder Legislativo." Agencia Paco Urondo, Periodismo Militante. 31 de Agosto de 2012. Accessed July 16, 2014, at http://www.agenciapacourondo.com.ar/secciones/sociedad/9055-cupo-femenino-poder-legislativo.html</t>
  </si>
  <si>
    <t>Source 20: Granara, Aixa (2014). "Representación Legislativa de las Mujeres in las Provincias Argentinas, 1989-2011." América Latina Hoy [Salamanca] 66, pp. 115-143, pp. 127-136.</t>
  </si>
  <si>
    <t>Source 21: Peralta, Sergio Walter, Gloria Gómez, and María del Rosario Giglio (n. d.). "Trabajo de investigación. Análisis cuanti-cualitativo de la producción legislativa. Periodo 1987-1991. Legislatura de la Provincia de San Juan, Sub-Dirección de Información Parliamentaria. Accessed July 28, 2014, at http://www.legsanjuan.gov.ar/infopa/PER87-91Nuevo.htm</t>
  </si>
  <si>
    <t>Source 22: Calvo, Ernesto, and Marcelo Escolar (2005). "La Nueva Política de Partidos en la Argentina: Crisis Política, Realineamientos Partidarios y Reforma Electoral." Ms., May 2005. Accessed July 1, 2014, at www.gvpt.umd.edu/calvo-escolar-final-completo-Mayo-30.05.pdf</t>
  </si>
  <si>
    <t>Source 23: Atlas Electoral de Andy Tow. Accessed July 2014 at http://www.andytow.com/blog/</t>
  </si>
  <si>
    <t>Source 24: Polack, Ana (2013). "Conflicto político y representación en las provincias: Argentina, 1983-2012." Chapter 7 (pp. 75-87) in Dossier Argentina: 30 años de democracia. Instituto de Estudios de América Latina y el Caribe, Facultad de Ciencias Sociales, Universidad de Buenos Aires, Observatorio Latinoamericano 12 (Noviembre). Accessed August 13, 2014, at http://iealc.sociales.uba.ar/files/2011/06/OL12-DossierArgentina._30añosdedemocracia.pdf</t>
  </si>
  <si>
    <t>Source 25 (Capital Federal): CABA [Ciudad Autonoma de Buenos Aires] (2009). "Indicadores de Género 2008," Figure 2.6.1. Dirección General de Estadística y Censos, Ministerio de Hacienda. March. Accessed July 9, 2014, at http://www.buenosaires.gob.ar/areas/hacienda/sis_estadistico/indicadores_de_genero_2008.pdf</t>
  </si>
  <si>
    <t>Source 26 (Chaco): Novoa Zieseniss, Silvia Mabel (2013). "Mujeres en política? El caso de las diputadas en la provincia de Chaco." Paper prepared for the Seminário Internacional Fazendo Gênero 10: Desafios Atuais dos Femenismos, Florianópolis, 16-20 September 2013. Anais Eletrônicos ISSN2179-510X. Accessed 8 July 2014 at http://www.fazendogenero.ufsc.br/10/resources/anais/20/1386705899_ARQUIVO_SilviaMabelNovoaZieseniss.pdf</t>
  </si>
  <si>
    <t>Source 27 (Misiones): Martin, María Elena (2009). "Parlamento y Género. El caso de la Provincia de Misiones. 1983-2001." PhD Diss., Universidad del Salvador, Buenos Aires. December, p. 110. Accessed July 7, 2014, at http://argos.fhycs.unam.edu.ar/handle/123456789/278</t>
  </si>
  <si>
    <t>Source 28 (Salta): Ramos, Alicia, and Verónica Spaventa (2010). "De derechos y participación política de las mujeres de Salta." In María Silvia Varg, ed., Las mujeres y el Bicentenario. Salta: Mundo Gráfico Salta Editorial, 117-148, p. 134.</t>
  </si>
  <si>
    <t>Source 29 (Santa Fé): Ferro, Lilian (2004). "Cuotas, Género e Historia Política en un caso provincial." IV Jornadas de Sociología de la Universidad de Buenos Aires, Facultad de Ciencias Sociales. Accessed July 7, 2014, at ww.webs.uvigo.es/pmayobre/textos/lilian/ponencia_sociologia_uba_2004_lilian.pdf Accessed July 7, 2014, at ww.webs.uvigo.es/pmayobre/textos/lilian/ponencia_sociologia_uba_2004_lilian.pdf</t>
  </si>
  <si>
    <t># time per</t>
  </si>
  <si>
    <t>ann obs beg</t>
  </si>
  <si>
    <t>ann obs end</t>
  </si>
  <si>
    <t xml:space="preserve">1984-1998 (actually election years 1983 to 1999): Junta Electoral, Provincia de Buenos Aires, Escrutinios Definitivos, various years. http://www.juntaelectoral.gba.gov.ar 2001-2014: Diarios de Sesiones, first ordinary session in March. Accessed 27 June 2014 at http://http://www.hcdiputados-ba.gov.ar/index.php?id=sesionesAnteriores. </t>
  </si>
  <si>
    <t>1998-2014: Diarios de Sesiones, first ordinary session in March, except 2014, second ordinary session in March. Accessed 27 June 2014 at http://www.legislatura.gov.ar/vt.php.</t>
  </si>
  <si>
    <t>2004: 10 Nov, 115º periodo: http://www.diputados-catamarca.gov.ar/ses/2004/diario22.pdf; 2005: 9 Nov, 116º periodo: http://www.diputados-catamarca.gov.ar/ses/2005/diario20.pdf; 2010: "El FCS propondrá a Colombo para la conducción de Diputados." TresLineas.com 9 December 2009. Accessed July 21, 2014, at http://www.treslineas.com.ar/propondra-colombo-para-conduccion-diputados-n-188308.html  2012: Diario de Sesiones 22 August 2012; 2013: http://186.153.166.188:7777/proyparweb/Boletin_Parlamentario_Digital_2013.pdf; 2014: http://186.153.166.188:7777/proyparweb/Boletin_Parlamentario_Digital_2014.pdf</t>
  </si>
  <si>
    <t>1984-2000: Biblioteca Legislativa, Poder Legislativo de la Provincia del Chaco (2002). "Reseña Historica." April. Accessed 11 July 2014 at http://www.legislaturachaco.gov.ar/documentospdf/BIBLIOTECA-LEGISLADORES-naranja.pdf  2001-2014: Diarios de Sesiones, usually first session in March. Accessed 27 June 2014 at http://www.legislaturachaco.gov.ar/al-versiones-taquigraficas.php</t>
  </si>
  <si>
    <t xml:space="preserve">1983-2011: Proclamations of Tribuna Electoral, Provincia de Chubut. Accessed June 30, 2014, at http://electoral.juschubut.gov.ar/proclamaciones.html. 2012-2014: Diarios de Sesiones, first session in March. Accessed July 19, 2014, at http://www.legischubut2.gov.ar/index.php?option=com_content&amp;view=section&amp;id=6&amp;Itemid=166  Website has Diarios de Sesiones from 2000 to 2011, but they do not include the names of deputies. </t>
  </si>
  <si>
    <t>1983-2014: "un listado alfabético de todos los senadores, diputados y legisladores provinciales que han pasado por el Poder Legislativo Provincial y han finalizado su mandato desde 1983 hasta la actualidad." Periodical sources used to confirm the presence of each female legislator in the Chamber (as opposed to the Senate prior to 2001) and in each of the four years of the relevant legislative period. Also a list of the 70 currently serving deputies. Accessed June 28, 2014, at http://www.legiscba.gob.ar/legiscba/legisladores.asp?Mandato=Vencido and http://www.legiscba.gob.ar/legiscba/legisladores.asp?Mandato=Actual</t>
  </si>
  <si>
    <r>
      <t xml:space="preserve">1983-2001: Ramón Alcides Fernández, Partido Liberal, records of candidates from all parties for Corrientes provincial deputy seats from 1983 to 1999, showing the sequence of candidates (including scans of original ballots for the Liberal Party and its allies) and thus permitting the deduction, in conjunction with information on how many provincial deputy seats each party or coalition won in each election, of the names of the 13 candidates who were elected to the provincial Chamber of Deputies in each biannual election from 1983 to 1999. No figure for 1986 or 1988 because it is not known which 13 of the 26 deputies (including four women) elected in 1983 stepped down in 1985 and which 13 lotteried into the canonical four-year term. The Fernández records were accessed July 21, 2014, at http://www.p-liberalcorrientes.com.ar/historia#resultadoselectorales  </t>
    </r>
    <r>
      <rPr>
        <b/>
        <sz val="9"/>
        <color theme="1"/>
        <rFont val="Times"/>
        <family val="1"/>
      </rPr>
      <t>2004-2013:</t>
    </r>
    <r>
      <rPr>
        <sz val="9"/>
        <color theme="1"/>
        <rFont val="Times"/>
        <family val="1"/>
      </rPr>
      <t xml:space="preserve"> Diarios de Sesiones; 2014: http://www.hcdcorrientes.gov.ar/diputados/diputados.htm</t>
    </r>
  </si>
  <si>
    <t>2002-2014: Diarios de Sesiones, usually Sesión Preparatoria (usually March). Accessed 27 June 2014 at http://www.hcder.gov.ar/diarios_sesiones.php</t>
  </si>
  <si>
    <r>
      <t xml:space="preserve">1984-2011: Legislatura de la Provincia de Formosa. "Mandatos de Diputados." Includes information about changes </t>
    </r>
    <r>
      <rPr>
        <i/>
        <sz val="9"/>
        <color theme="1"/>
        <rFont val="Times"/>
        <family val="1"/>
      </rPr>
      <t>within</t>
    </r>
    <r>
      <rPr>
        <sz val="9"/>
        <color theme="1"/>
        <rFont val="Times"/>
        <family val="1"/>
      </rPr>
      <t xml:space="preserve"> each legislative period. Accessed July 9, 2014, at http://www.legislaturaformosa.gob.ar/?seccion=mandato. 2012-2013: http://es.wikipedia.org/wiki/Cámara_de_Diputados_de_Formosa accessed 9 July 2014. Omitted the newly elected Ricardo MENDOZA, who was among the deputies sworn in on 23 October 2011. See Resolution 2274 of the Chamber of Deputies, accessed 9 July 2014 at http://www.legislaturaformosa.gob.ar/?seccion=verresolucion&amp;nro=2274. 2014: Diario de Sesiones, 6 March 2014. 2011-2012: deduced from the compsition of the Chamber of Deputies in 2012 and 2013 and from the names of the newly sworn-in deputies on 11 December 2011 according to Resolution 2274 of the Chamber of Deputies, accessed 9 July 2014 at http://www.legislaturaformosa.gob.ar/?seccion=verresolucion&amp;nro=2274</t>
    </r>
  </si>
  <si>
    <r>
      <t xml:space="preserve">1984-1987; 2000-2014: Diarios de Sesiones, first session in March or April. Accessed 30 June 2014 at http://www.legislaturajujuy.gov.ar/institucion/versiones_taquigraficas. 1988-1999: Tribunal Electoral Permanente de la Provincia de Jujuy, "Autoridades de Jujuy * Diputados Provinciales 1983-2007" Includes information on changes </t>
    </r>
    <r>
      <rPr>
        <i/>
        <sz val="9"/>
        <color theme="1"/>
        <rFont val="Times"/>
        <family val="1"/>
      </rPr>
      <t>within</t>
    </r>
    <r>
      <rPr>
        <sz val="9"/>
        <color theme="1"/>
        <rFont val="Times"/>
        <family val="1"/>
      </rPr>
      <t xml:space="preserve"> legislative periods. Accessed 8 July 2014 at http://www.tribelectoraljujuy.gov.ar/modulos/autjujuy.asp?id=7&amp;zc=2</t>
    </r>
  </si>
  <si>
    <r>
      <t xml:space="preserve">1984-2014: Complete lists of current and former deputies, including changes </t>
    </r>
    <r>
      <rPr>
        <i/>
        <sz val="9"/>
        <color theme="1"/>
        <rFont val="Times"/>
        <family val="1"/>
      </rPr>
      <t>within</t>
    </r>
    <r>
      <rPr>
        <sz val="9"/>
        <color theme="1"/>
        <rFont val="Times"/>
        <family val="1"/>
      </rPr>
      <t xml:space="preserve"> 4-year legislative periods. Accessed 30 June 2014 at http://www.legislatura.lapampa.gob.ar/diputados-as-anteriores.html and http://www.legislatura.lapampa.gob.ar/diputados-as-alfabetico.html</t>
    </r>
  </si>
  <si>
    <t>2010, 2012: Diarios de Sesiones; 2014: http://www.legislrj.gov.ar/diputados.php accessed 30 June 2014</t>
  </si>
  <si>
    <t>2003-2014: Diarios de Sesiones, second session in May. Accessed 4 July 2014 at http://www.hcdmza.gov.ar//index.php?option=com_content&amp;task=section&amp;id=3&amp;Itemid=40 and http://www.hcdmza.gov.ar/nuke/diariosesiones/2003/mayo/ds07503.pdf</t>
  </si>
  <si>
    <r>
      <t xml:space="preserve">1984-2014: "Composiciones Anteriores" (lists of deputies during </t>
    </r>
    <r>
      <rPr>
        <i/>
        <sz val="9"/>
        <color theme="1"/>
        <rFont val="Times"/>
        <family val="1"/>
      </rPr>
      <t>each</t>
    </r>
    <r>
      <rPr>
        <sz val="9"/>
        <color theme="1"/>
        <rFont val="Times"/>
        <family val="1"/>
      </rPr>
      <t xml:space="preserve"> annual legislative period, not just entire four-year mandates): Link in the "institutucional"" bucket on the home page of the Camara de Representates, Provincia de Misiones, accessed July 2014 at http://www.diputadosmisiones.gob.ar/content.php?id_category=20 </t>
    </r>
  </si>
  <si>
    <t>1998-2014: Diarios de Sesiones, usually first ordinary session (in May 1998-2006, in March 2007-2014). Accessed 2 July 2014 at http://www.legislaturaneuquen.gov.ar/periodosLegislativos.aspx</t>
  </si>
  <si>
    <t>1994, 2000-2014: Diarios de Sesiones, usually first session in March. Accessed 26 June 2014 at http://www.legisrn.gov.ar/LEGISCON/diarioswp.php</t>
  </si>
  <si>
    <t>2008, 2010: Cámara de Diputados de Salta press releases (Comunicaciónes Institucionales) accessed 8 July 2014 at http://prensadiputados.blogspot.com/2007/12/acto.html and http://prensadiputados.blogspot.com/2009/11/juramento-y-sesion-preparatoria_24.html. 2012, 2013, 2014: Diarios de Sesiones de la Camara de Diputados de la Provincia de Salta 3 April 2012, 9 April 2013, and 8 April 2014.</t>
  </si>
  <si>
    <t>1984-2014: Diarios de Sesiones, usually first ordinary session in April. Accessed 1 &amp; 3 July 2014 at http://www.legislaturasanjuan.gob.ar/index.php/sesiones/versiones-taquigraficas. Supplemented by Peralta, Sergio Walter (n.d.). "Composición por año de la Cámara de Diputados de San Juan. Nómina de Diputados electos." Accessed 28 July 2014 at http://www.legislaturasanjuan.gob.ar/index.php/servicios/algo-de-historia/composicion-de-la-camara-por-periodo</t>
  </si>
  <si>
    <t>2008-2014: Diarios de Sesiones, usually first session in March. Accessed 26 June 2014 at http://www.diputadossanluis.gov.ar/diputadosasp/paginas/sesiones.asp</t>
  </si>
  <si>
    <r>
      <t xml:space="preserve">1984-1987, 1998-2012: Gerez, Héctor, Leandro Stutz, and Valeria Rocha (2012). "Honorable Cámara de Diputados: Protocolo, Año 2012. Actualizado Febrero 2012." Dirección de Protocolo, Honorable Cámara de Diputados de la Provincia de Santa Cruz. Gives information about changes </t>
    </r>
    <r>
      <rPr>
        <i/>
        <sz val="9"/>
        <color theme="1"/>
        <rFont val="Times"/>
        <family val="1"/>
      </rPr>
      <t>within</t>
    </r>
    <r>
      <rPr>
        <sz val="9"/>
        <color theme="1"/>
        <rFont val="Times"/>
        <family val="1"/>
      </rPr>
      <t xml:space="preserve"> each four-year legislative period. Accessed July 13, 2014, at http://www.hacakq.org/doc_913548/ 2014: http://hcdsc.gov.ar/index.php?option=com_content&amp;view=article&amp;id=32&amp;Itemid=119 accessed 12 July 2014. 2013 assumed to be 4 because 2012 and 2014 had identical names. 2007 was taken from a list of deputies at http://www.uca.edu.ar/uca/common/grupo61/files/Santa_Cruz-Panorama_Preelectoral_2007.pdf. This list included Clara Mabel Ruíz, whom periodical evidence confirmed was a deputy in 2007 as well as in 2006. She was not on the Gerez, Stutz, and Rocha (2012) list for 2003-2007, which included only 3 women. Accordingly, 2004 and 2005 were assigned a total of 3 women and 2006 and 2007 a total of 4 women. Evidence that Ruiz was a deputy in March 2006: http://www.enernews.com/nota/187016/sergio-acevedo-la-segunda-victima-de-las-heras. Evidence that Ruiz was a deputy in August 2007: http://www.elpatagonico.net/nota/7464/ Ana María Urricelqui resigned in late 2010 to become Ministro de Desarrollo Social .http://www.treslineas.com.ar/trascienden-nombres-nuevo-gabinete-peralta-n-529637.html Still held this post in July 2011. http://www.tiemposur.com.ar/nota/26746--cabrera-efectuó-su-lanzamiento-a-candidato-a-diputado-provincial-</t>
    </r>
  </si>
  <si>
    <t>Santa Fé</t>
    <phoneticPr fontId="0"/>
  </si>
  <si>
    <t>2006-2014: Diarios de Sesiones, usually May 1. Accessed 4 July 2014 at http://www.diputadossantafe.gov.ar/actividad-legislativa/diario-de-sesiones</t>
  </si>
  <si>
    <t>2014: Deputies scheduled to be sworn in 10 Dec 2013 according to http://www.nuevodiarioweb.com.ar/nota/seccion/496028/juraron-diputados-provinciales-electos</t>
  </si>
  <si>
    <t>1990-2014: Diarios de Sesiones, usually Sesion Inaugural (usually January). Accessed 3 July 2014 at http://www.legistdf.gov.ar/documentos/diarios/</t>
  </si>
  <si>
    <r>
      <t xml:space="preserve">2004-2014: Junta Electoral Tucumán accessed 13 July 2014 at http://www.electoraltucuman.gov.ar/index.php/inicio provides the names of the provincial deputies elected in 2003, 2007, and 2011. Periodical sources were used to detect and verify changes in the number of female provincial legislators </t>
    </r>
    <r>
      <rPr>
        <i/>
        <sz val="9"/>
        <color theme="1"/>
        <rFont val="Times"/>
        <family val="1"/>
      </rPr>
      <t>within</t>
    </r>
    <r>
      <rPr>
        <sz val="9"/>
        <color theme="1"/>
        <rFont val="Times"/>
        <family val="1"/>
      </rPr>
      <t xml:space="preserve"> each of the three legislative periods.</t>
    </r>
  </si>
  <si>
    <t>Nº Provinces w/data</t>
  </si>
  <si>
    <t>Number</t>
  </si>
  <si>
    <t>Primary sources</t>
  </si>
  <si>
    <t>Varies by province. See column AN for source for each province.</t>
  </si>
  <si>
    <t>Percentage</t>
  </si>
  <si>
    <t>Numerator: this workbook, worksheet ProvDepsNºFem1ºSources.
Denominator: this workbook, worksheet ProvDepsTotalSeats.</t>
  </si>
  <si>
    <t>Varies by province. See column AN for source for numerator for each province.</t>
  </si>
  <si>
    <t>Total</t>
  </si>
  <si>
    <r>
      <rPr>
        <sz val="9"/>
        <color rgb="FFFF0000"/>
        <rFont val="Times"/>
        <family val="1"/>
      </rPr>
      <t>Red</t>
    </r>
    <r>
      <rPr>
        <sz val="9"/>
        <color theme="1"/>
        <rFont val="Times"/>
        <family val="1"/>
      </rPr>
      <t xml:space="preserve"> data for 1985 are from this workbook, worksheet "ProvDeps%Fem1ºSources."
</t>
    </r>
    <r>
      <rPr>
        <sz val="9"/>
        <color rgb="FF008000"/>
        <rFont val="Times"/>
        <family val="1"/>
      </rPr>
      <t>Green</t>
    </r>
    <r>
      <rPr>
        <sz val="9"/>
        <color theme="1"/>
        <rFont val="Times"/>
        <family val="1"/>
      </rPr>
      <t xml:space="preserve"> data for 1985 assume that the proportion in 1985 was the same as in 1984.
</t>
    </r>
    <r>
      <rPr>
        <sz val="9"/>
        <color rgb="FF800000"/>
        <rFont val="Times"/>
        <family val="1"/>
      </rPr>
      <t>Dark red</t>
    </r>
    <r>
      <rPr>
        <sz val="9"/>
        <color theme="1"/>
        <rFont val="Times"/>
        <family val="1"/>
      </rPr>
      <t xml:space="preserve"> data for 1985 are from Source 29 (Santa Fé).</t>
    </r>
  </si>
  <si>
    <r>
      <rPr>
        <sz val="9"/>
        <color rgb="FFFF0000"/>
        <rFont val="Times"/>
        <family val="1"/>
      </rPr>
      <t>Red</t>
    </r>
    <r>
      <rPr>
        <sz val="9"/>
        <color theme="1"/>
        <rFont val="Times"/>
        <family val="1"/>
      </rPr>
      <t xml:space="preserve"> data for 1987 are from this workbook, worksheet "ProvDeps%Fem1ºSources"
</t>
    </r>
    <r>
      <rPr>
        <sz val="9"/>
        <color rgb="FF008000"/>
        <rFont val="Times"/>
        <family val="1"/>
      </rPr>
      <t>Green</t>
    </r>
    <r>
      <rPr>
        <sz val="9"/>
        <color theme="1"/>
        <rFont val="Times"/>
        <family val="1"/>
      </rPr>
      <t xml:space="preserve"> data for 1987 assume that the proportion in 1987 was the same as in 1986.
</t>
    </r>
    <r>
      <rPr>
        <sz val="9"/>
        <color rgb="FF800000"/>
        <rFont val="Times"/>
        <family val="1"/>
      </rPr>
      <t>Dark red</t>
    </r>
    <r>
      <rPr>
        <sz val="9"/>
        <color theme="1"/>
        <rFont val="Times"/>
        <family val="1"/>
      </rPr>
      <t xml:space="preserve"> data for 1987 are from Source 29 (Santa Fé).</t>
    </r>
  </si>
  <si>
    <r>
      <rPr>
        <sz val="9"/>
        <color rgb="FFFF0000"/>
        <rFont val="Times"/>
        <family val="1"/>
      </rPr>
      <t>Red</t>
    </r>
    <r>
      <rPr>
        <sz val="9"/>
        <color theme="1"/>
        <rFont val="Times"/>
        <family val="1"/>
      </rPr>
      <t xml:space="preserve"> data for 1989 are from this workbook, worksheet "ProvDeps%Fem1ºSources"
</t>
    </r>
    <r>
      <rPr>
        <sz val="9"/>
        <color rgb="FF008000"/>
        <rFont val="Times"/>
        <family val="1"/>
      </rPr>
      <t>Green</t>
    </r>
    <r>
      <rPr>
        <sz val="9"/>
        <color theme="1"/>
        <rFont val="Times"/>
        <family val="1"/>
      </rPr>
      <t xml:space="preserve"> data for 1989 assume that the proportion in 1989 was the same as in 1988.
</t>
    </r>
    <r>
      <rPr>
        <sz val="9"/>
        <color rgb="FF800000"/>
        <rFont val="Times"/>
        <family val="1"/>
      </rPr>
      <t>Dark red</t>
    </r>
    <r>
      <rPr>
        <sz val="9"/>
        <color theme="1"/>
        <rFont val="Times"/>
        <family val="1"/>
      </rPr>
      <t xml:space="preserve"> data for 1989 are from Source 29 (Santa Fé).</t>
    </r>
  </si>
  <si>
    <r>
      <rPr>
        <sz val="9"/>
        <color rgb="FFFF0000"/>
        <rFont val="Times"/>
        <family val="1"/>
      </rPr>
      <t>Red</t>
    </r>
    <r>
      <rPr>
        <sz val="9"/>
        <color theme="1"/>
        <rFont val="Times"/>
        <family val="1"/>
      </rPr>
      <t xml:space="preserve"> data for 1991 are from this workbook, worksheet "ProvDeps%Fem1ºSources"
</t>
    </r>
    <r>
      <rPr>
        <sz val="9"/>
        <color rgb="FF008000"/>
        <rFont val="Times"/>
        <family val="1"/>
      </rPr>
      <t>Green</t>
    </r>
    <r>
      <rPr>
        <sz val="9"/>
        <color theme="1"/>
        <rFont val="Times"/>
        <family val="1"/>
      </rPr>
      <t xml:space="preserve"> data for 1991 assume that the proportion in 1991 was the same as in 1990.
</t>
    </r>
    <r>
      <rPr>
        <sz val="9"/>
        <color rgb="FF800000"/>
        <rFont val="Times"/>
        <family val="1"/>
      </rPr>
      <t>Dark red</t>
    </r>
    <r>
      <rPr>
        <sz val="9"/>
        <color theme="1"/>
        <rFont val="Times"/>
        <family val="1"/>
      </rPr>
      <t xml:space="preserve"> data for 1991 are from Source 29 (Santa Fé).
</t>
    </r>
    <r>
      <rPr>
        <b/>
        <sz val="9"/>
        <color theme="1"/>
        <rFont val="Times"/>
        <family val="1"/>
      </rPr>
      <t>intv</t>
    </r>
    <r>
      <rPr>
        <sz val="9"/>
        <color theme="1"/>
        <rFont val="Times"/>
        <family val="1"/>
      </rPr>
      <t xml:space="preserve"> means that the province (Tucumán) was under federal intervention for the 1991 legislative year.</t>
    </r>
  </si>
  <si>
    <r>
      <rPr>
        <sz val="9"/>
        <color rgb="FFFF0000"/>
        <rFont val="Times"/>
        <family val="1"/>
      </rPr>
      <t>Red</t>
    </r>
    <r>
      <rPr>
        <sz val="9"/>
        <color theme="1"/>
        <rFont val="Times"/>
        <family val="1"/>
      </rPr>
      <t xml:space="preserve"> data for 1993 are from this workbook, worksheet "ProvDeps%Fem1ºSources"
</t>
    </r>
    <r>
      <rPr>
        <sz val="9"/>
        <color rgb="FF008000"/>
        <rFont val="Times"/>
        <family val="1"/>
      </rPr>
      <t>Green</t>
    </r>
    <r>
      <rPr>
        <sz val="9"/>
        <color theme="1"/>
        <rFont val="Times"/>
        <family val="1"/>
      </rPr>
      <t xml:space="preserve"> data for 1993 assume that the proportion in 1993 was the same as in 1992 or (in Río Negro) 1994.
</t>
    </r>
    <r>
      <rPr>
        <sz val="9"/>
        <color rgb="FF800000"/>
        <rFont val="Times"/>
        <family val="1"/>
      </rPr>
      <t>Dark red</t>
    </r>
    <r>
      <rPr>
        <sz val="9"/>
        <color theme="1"/>
        <rFont val="Times"/>
        <family val="1"/>
      </rPr>
      <t xml:space="preserve"> data for 1993 are from Source 29 (Santa Fé).</t>
    </r>
    <r>
      <rPr>
        <b/>
        <sz val="9"/>
        <color theme="1"/>
        <rFont val="Times"/>
        <family val="1"/>
      </rPr>
      <t/>
    </r>
  </si>
  <si>
    <r>
      <rPr>
        <sz val="9"/>
        <color rgb="FFFF0000"/>
        <rFont val="Times"/>
        <family val="1"/>
      </rPr>
      <t>Red</t>
    </r>
    <r>
      <rPr>
        <sz val="9"/>
        <color theme="1"/>
        <rFont val="Times"/>
        <family val="1"/>
      </rPr>
      <t xml:space="preserve"> data for 1997 are from this workbook, worksheet "ProvDeps%Fem1ºSources"
</t>
    </r>
    <r>
      <rPr>
        <sz val="9"/>
        <color rgb="FF008000"/>
        <rFont val="Times"/>
        <family val="1"/>
      </rPr>
      <t>Green</t>
    </r>
    <r>
      <rPr>
        <sz val="9"/>
        <color theme="1"/>
        <rFont val="Times"/>
        <family val="1"/>
      </rPr>
      <t xml:space="preserve"> data for 1997 assume that the proportion in 1997 was the same as in 1996.
</t>
    </r>
    <r>
      <rPr>
        <sz val="9"/>
        <color rgb="FF800000"/>
        <rFont val="Times"/>
        <family val="1"/>
      </rPr>
      <t>Dark red</t>
    </r>
    <r>
      <rPr>
        <sz val="9"/>
        <color theme="1"/>
        <rFont val="Times"/>
        <family val="1"/>
      </rPr>
      <t xml:space="preserve"> data for 1997 are from Source 29 (Santa Fé).</t>
    </r>
    <r>
      <rPr>
        <b/>
        <sz val="9"/>
        <color theme="1"/>
        <rFont val="Times"/>
        <family val="1"/>
      </rPr>
      <t/>
    </r>
  </si>
  <si>
    <t>The Mendoza figure of 3 female deputies (holding 6.3 percent of the seats) legislating in 1984 is confirmed by Source 15.</t>
  </si>
  <si>
    <t xml:space="preserve">The key to the numbered sources is in Column AN of this worksheet.
Light or dark shading has no intrinic significance; it simply shows the years in which a cohort of legislators was not changed by an election.
All figures correspond to the legislative year. The deputies legislating that year were elected either 1 year or 3 years earlier. Secondary sources typically date their percentages by the election year rather than the legislative year. </t>
  </si>
  <si>
    <r>
      <t xml:space="preserve">Figures for Catamarca and La Rioja differ slightly from those in Source 7 because Source 7's figure for </t>
    </r>
    <r>
      <rPr>
        <i/>
        <sz val="9"/>
        <color theme="1"/>
        <rFont val="Times"/>
        <family val="1"/>
      </rPr>
      <t>total</t>
    </r>
    <r>
      <rPr>
        <sz val="9"/>
        <color theme="1"/>
        <rFont val="Times"/>
        <family val="1"/>
      </rPr>
      <t xml:space="preserve"> seats was off by one.</t>
    </r>
  </si>
  <si>
    <r>
      <t xml:space="preserve">Figures for Catamarca, Neuquén, San Luis, and Santiago del Estero differ slightly from those in Source 14 because Source 14's figure for </t>
    </r>
    <r>
      <rPr>
        <i/>
        <sz val="9"/>
        <color theme="1"/>
        <rFont val="Times"/>
        <family val="1"/>
      </rPr>
      <t>total</t>
    </r>
    <r>
      <rPr>
        <sz val="9"/>
        <color theme="1"/>
        <rFont val="Times"/>
        <family val="1"/>
      </rPr>
      <t xml:space="preserve"> seats was off by one.</t>
    </r>
  </si>
  <si>
    <r>
      <rPr>
        <sz val="9"/>
        <color rgb="FFFF0000"/>
        <rFont val="Times"/>
        <family val="1"/>
      </rPr>
      <t>Red</t>
    </r>
    <r>
      <rPr>
        <sz val="9"/>
        <color theme="1"/>
        <rFont val="Times"/>
        <family val="1"/>
      </rPr>
      <t xml:space="preserve"> data for 1984 are from this workbook, worksheet "ProvDeps%Fem1ºSources"
</t>
    </r>
    <r>
      <rPr>
        <sz val="9"/>
        <color rgb="FF660066"/>
        <rFont val="Times"/>
        <family val="1"/>
      </rPr>
      <t>Purple</t>
    </r>
    <r>
      <rPr>
        <sz val="9"/>
        <color theme="1"/>
        <rFont val="Times"/>
        <family val="1"/>
      </rPr>
      <t xml:space="preserve"> data for 1984 are the "1983" (election year) figures from Source 14.
</t>
    </r>
    <r>
      <rPr>
        <sz val="9"/>
        <color rgb="FF800000"/>
        <rFont val="Times"/>
        <family val="1"/>
      </rPr>
      <t>Dark red</t>
    </r>
    <r>
      <rPr>
        <sz val="9"/>
        <color theme="1"/>
        <rFont val="Times"/>
        <family val="1"/>
      </rPr>
      <t xml:space="preserve"> data for 1984 are from Source 25 (Capital Federal), 28 (Salta), or 29 (Santa Fé).</t>
    </r>
  </si>
  <si>
    <r>
      <rPr>
        <sz val="9"/>
        <color rgb="FFFF0000"/>
        <rFont val="Times"/>
        <family val="1"/>
      </rPr>
      <t>Red</t>
    </r>
    <r>
      <rPr>
        <sz val="9"/>
        <color theme="1"/>
        <rFont val="Times"/>
        <family val="1"/>
      </rPr>
      <t xml:space="preserve"> data for 1986 are from this workbook, worksheet "ProvDeps%Fem1ºSources"
</t>
    </r>
    <r>
      <rPr>
        <sz val="9"/>
        <color rgb="FF008000"/>
        <rFont val="Times"/>
        <family val="1"/>
      </rPr>
      <t>Green</t>
    </r>
    <r>
      <rPr>
        <sz val="9"/>
        <color theme="1"/>
        <rFont val="Times"/>
        <family val="1"/>
      </rPr>
      <t xml:space="preserve"> data for 1986 assume that the proportion in 1986 was the same as in 1985.
</t>
    </r>
    <r>
      <rPr>
        <sz val="9"/>
        <color rgb="FF800000"/>
        <rFont val="Times"/>
        <family val="1"/>
      </rPr>
      <t>Dark red</t>
    </r>
    <r>
      <rPr>
        <sz val="9"/>
        <color theme="1"/>
        <rFont val="Times"/>
        <family val="1"/>
      </rPr>
      <t xml:space="preserve"> data for 1986 are from Source 25 (Capital Federal), 28 (Salta), or 29 (Santa Fé).</t>
    </r>
  </si>
  <si>
    <r>
      <rPr>
        <sz val="9"/>
        <color rgb="FFFF0000"/>
        <rFont val="Times"/>
        <family val="1"/>
      </rPr>
      <t>Red</t>
    </r>
    <r>
      <rPr>
        <sz val="9"/>
        <color theme="1"/>
        <rFont val="Times"/>
        <family val="1"/>
      </rPr>
      <t xml:space="preserve"> data for 1988 are from this workbook, worksheet "ProvDeps%Fem1ºSources"
</t>
    </r>
    <r>
      <rPr>
        <sz val="9"/>
        <color rgb="FF800000"/>
        <rFont val="Times"/>
        <family val="1"/>
      </rPr>
      <t>Dark red</t>
    </r>
    <r>
      <rPr>
        <sz val="9"/>
        <color theme="1"/>
        <rFont val="Times"/>
        <family val="1"/>
      </rPr>
      <t xml:space="preserve"> data for 1988 are from Source 25 (Capital Federal), 28 (Salta), or 29 (Santa Fé).</t>
    </r>
  </si>
  <si>
    <r>
      <rPr>
        <sz val="9"/>
        <color rgb="FFFF0000"/>
        <rFont val="Times"/>
        <family val="1"/>
      </rPr>
      <t>Red</t>
    </r>
    <r>
      <rPr>
        <sz val="9"/>
        <color theme="1"/>
        <rFont val="Times"/>
        <family val="1"/>
      </rPr>
      <t xml:space="preserve"> data for 1990 are from this workbook, worksheet "ProvDeps%Fem1ºSources"
</t>
    </r>
    <r>
      <rPr>
        <sz val="9"/>
        <color rgb="FF800000"/>
        <rFont val="Times"/>
        <family val="1"/>
      </rPr>
      <t>Dark red</t>
    </r>
    <r>
      <rPr>
        <sz val="9"/>
        <color theme="1"/>
        <rFont val="Times"/>
        <family val="1"/>
      </rPr>
      <t xml:space="preserve"> data for 1990 are from Source 25 (Capital Federal), 28 (Salta), or 29 (Santa Fé).
</t>
    </r>
    <r>
      <rPr>
        <sz val="9"/>
        <color rgb="FF008000"/>
        <rFont val="Times"/>
        <family val="1"/>
      </rPr>
      <t>Green</t>
    </r>
    <r>
      <rPr>
        <sz val="9"/>
        <color theme="1"/>
        <rFont val="Times"/>
        <family val="1"/>
      </rPr>
      <t xml:space="preserve"> data for 1990 assume that the proportion in 1990 was the same as in 1989.
</t>
    </r>
    <r>
      <rPr>
        <sz val="9"/>
        <color theme="8" tint="0.39997558519241921"/>
        <rFont val="Times"/>
        <family val="1"/>
      </rPr>
      <t>Turquoise</t>
    </r>
    <r>
      <rPr>
        <sz val="9"/>
        <color theme="1"/>
        <rFont val="Times"/>
        <family val="1"/>
      </rPr>
      <t xml:space="preserve"> data for 1990 are eyeballed from graphs in Source 20.</t>
    </r>
  </si>
  <si>
    <r>
      <rPr>
        <sz val="9"/>
        <color rgb="FFFF0000"/>
        <rFont val="Times"/>
        <family val="1"/>
      </rPr>
      <t>Red</t>
    </r>
    <r>
      <rPr>
        <sz val="9"/>
        <color theme="1"/>
        <rFont val="Times"/>
        <family val="1"/>
      </rPr>
      <t xml:space="preserve"> data for 1992 are from this workbook, worksheet "ProvDeps%Fem1ºSources"
</t>
    </r>
    <r>
      <rPr>
        <sz val="9"/>
        <color rgb="FF800000"/>
        <rFont val="Times"/>
        <family val="1"/>
      </rPr>
      <t>Dark red</t>
    </r>
    <r>
      <rPr>
        <sz val="9"/>
        <color theme="1"/>
        <rFont val="Times"/>
        <family val="1"/>
      </rPr>
      <t xml:space="preserve"> data for 1992 are from Source 25 (Capital Federal) or 29 (Santa Fé).
</t>
    </r>
    <r>
      <rPr>
        <sz val="9"/>
        <color rgb="FF008000"/>
        <rFont val="Times"/>
        <family val="1"/>
      </rPr>
      <t>Green</t>
    </r>
    <r>
      <rPr>
        <sz val="9"/>
        <color theme="1"/>
        <rFont val="Times"/>
        <family val="1"/>
      </rPr>
      <t xml:space="preserve"> data for 1992 assume that the proportion in Río Negro 1992 was the same as in 1994.
</t>
    </r>
    <r>
      <rPr>
        <sz val="9"/>
        <color rgb="FF660066"/>
        <rFont val="Times"/>
        <family val="1"/>
      </rPr>
      <t>Purple</t>
    </r>
    <r>
      <rPr>
        <sz val="9"/>
        <color theme="1"/>
        <rFont val="Times"/>
        <family val="1"/>
      </rPr>
      <t xml:space="preserve"> data for 1992 are the "1991" (election year) figures from Source 7.</t>
    </r>
  </si>
  <si>
    <r>
      <rPr>
        <sz val="9"/>
        <color rgb="FFFF0000"/>
        <rFont val="Times"/>
        <family val="1"/>
      </rPr>
      <t>Red</t>
    </r>
    <r>
      <rPr>
        <sz val="9"/>
        <color theme="1"/>
        <rFont val="Times"/>
        <family val="1"/>
      </rPr>
      <t xml:space="preserve"> data for 1999 are from this workbook, worksheet "ProvDeps%Fem1ºSources"
</t>
    </r>
    <r>
      <rPr>
        <sz val="9"/>
        <color rgb="FF008000"/>
        <rFont val="Times"/>
        <family val="1"/>
      </rPr>
      <t>Green</t>
    </r>
    <r>
      <rPr>
        <sz val="9"/>
        <color theme="1"/>
        <rFont val="Times"/>
        <family val="1"/>
      </rPr>
      <t xml:space="preserve"> data for 1999 assume that the proportion in 1999 was the same as in 1998.
</t>
    </r>
    <r>
      <rPr>
        <sz val="9"/>
        <color rgb="FF800000"/>
        <rFont val="Times"/>
        <family val="1"/>
      </rPr>
      <t>Dark red</t>
    </r>
    <r>
      <rPr>
        <sz val="9"/>
        <color theme="1"/>
        <rFont val="Times"/>
        <family val="1"/>
      </rPr>
      <t xml:space="preserve"> data for 1999 are from Source 29 (Santa Fé).
</t>
    </r>
    <r>
      <rPr>
        <sz val="9"/>
        <color rgb="FF0000FF"/>
        <rFont val="Times"/>
        <family val="1"/>
      </rPr>
      <t>Blue</t>
    </r>
    <r>
      <rPr>
        <sz val="9"/>
        <color theme="1"/>
        <rFont val="Times"/>
        <family val="1"/>
      </rPr>
      <t xml:space="preserve"> data for 1999 for La Rioja, Santa Cruz, and Santiago del Estero are calculated from absolute numbers in from Source 17.</t>
    </r>
  </si>
  <si>
    <t>Source 8: Consejo Nacional de Mujeres, "Mujeres en lugares de decision," pp. 3 ("as of 10 Oct 2003," the date of the elections preceding the 2004 legislative year) and 17 (1999). Accessed January 14, 2013, at http://www.cnm.gov.ar/AreasDeIntervencion/MujeresEnLugaresDeDecision.pdf. Figures for Santiago del Estero for 2003 are for deputies who took office on 7 April 2005, after the elections of 27 February 2005 after the province's intervention was lifted</t>
  </si>
  <si>
    <r>
      <rPr>
        <sz val="9"/>
        <color rgb="FFFF0000"/>
        <rFont val="Times"/>
        <family val="1"/>
      </rPr>
      <t>Red</t>
    </r>
    <r>
      <rPr>
        <sz val="9"/>
        <color theme="1"/>
        <rFont val="Times"/>
        <family val="1"/>
      </rPr>
      <t xml:space="preserve"> data for 2001 are from this workbook, worksheet "ProvDeps%Fem1ºSources"
</t>
    </r>
    <r>
      <rPr>
        <sz val="9"/>
        <color rgb="FF008000"/>
        <rFont val="Times"/>
        <family val="1"/>
      </rPr>
      <t>Green</t>
    </r>
    <r>
      <rPr>
        <sz val="9"/>
        <color theme="1"/>
        <rFont val="Times"/>
        <family val="1"/>
      </rPr>
      <t xml:space="preserve"> data for 2001 assume that the proportion in 2001 was the same as in 2000.
</t>
    </r>
    <r>
      <rPr>
        <sz val="9"/>
        <color rgb="FF800000"/>
        <rFont val="Times"/>
        <family val="1"/>
      </rPr>
      <t>Dark red</t>
    </r>
    <r>
      <rPr>
        <sz val="9"/>
        <color theme="1"/>
        <rFont val="Times"/>
        <family val="1"/>
      </rPr>
      <t xml:space="preserve"> data for 2001 are from Source 29 (Santa Fé).
</t>
    </r>
    <r>
      <rPr>
        <b/>
        <sz val="9"/>
        <color theme="1"/>
        <rFont val="Times"/>
        <family val="1"/>
      </rPr>
      <t>intv</t>
    </r>
    <r>
      <rPr>
        <sz val="9"/>
        <color theme="1"/>
        <rFont val="Times"/>
        <family val="1"/>
      </rPr>
      <t xml:space="preserve"> means that the province (Corrientes) was under federal intervention for the 2001 legislative year.</t>
    </r>
  </si>
  <si>
    <r>
      <rPr>
        <sz val="9"/>
        <color rgb="FFFF0000"/>
        <rFont val="Times"/>
        <family val="1"/>
      </rPr>
      <t>Red</t>
    </r>
    <r>
      <rPr>
        <sz val="9"/>
        <color theme="1"/>
        <rFont val="Times"/>
        <family val="1"/>
      </rPr>
      <t xml:space="preserve"> data for 1995 are from this workbook, worksheet "ProvDeps%Fem1ºSources"
</t>
    </r>
    <r>
      <rPr>
        <sz val="9"/>
        <color rgb="FF008000"/>
        <rFont val="Times"/>
        <family val="1"/>
      </rPr>
      <t>Green</t>
    </r>
    <r>
      <rPr>
        <sz val="9"/>
        <color theme="1"/>
        <rFont val="Times"/>
        <family val="1"/>
      </rPr>
      <t xml:space="preserve"> data for 1995 assume that the proportion in 1995 was the same as in 1994 or (in several provinces) 1992.
</t>
    </r>
    <r>
      <rPr>
        <sz val="9"/>
        <color rgb="FF800000"/>
        <rFont val="Times"/>
        <family val="1"/>
      </rPr>
      <t>Dark red</t>
    </r>
    <r>
      <rPr>
        <sz val="9"/>
        <color theme="1"/>
        <rFont val="Times"/>
        <family val="1"/>
      </rPr>
      <t xml:space="preserve"> data for 1995 are from Source 29 (Santa Fé).
</t>
    </r>
    <r>
      <rPr>
        <b/>
        <sz val="9"/>
        <color theme="1"/>
        <rFont val="Times"/>
        <family val="1"/>
      </rPr>
      <t>intv</t>
    </r>
    <r>
      <rPr>
        <sz val="9"/>
        <color theme="1"/>
        <rFont val="Times"/>
        <family val="1"/>
      </rPr>
      <t xml:space="preserve"> means that the province (Santiago del Estero) was under federal intervention for the 1995 legislative year.</t>
    </r>
  </si>
  <si>
    <r>
      <rPr>
        <sz val="9"/>
        <color rgb="FFFF0000"/>
        <rFont val="Times"/>
        <family val="1"/>
      </rPr>
      <t>Red</t>
    </r>
    <r>
      <rPr>
        <sz val="9"/>
        <color theme="1"/>
        <rFont val="Times"/>
        <family val="1"/>
      </rPr>
      <t xml:space="preserve"> data for 1998 are from this workbook, worksheet "ProvDeps%Fem1ºSources"
</t>
    </r>
    <r>
      <rPr>
        <sz val="9"/>
        <color rgb="FF008000"/>
        <rFont val="Times"/>
        <family val="1"/>
      </rPr>
      <t>Green</t>
    </r>
    <r>
      <rPr>
        <sz val="9"/>
        <color theme="1"/>
        <rFont val="Times"/>
        <family val="1"/>
      </rPr>
      <t xml:space="preserve"> data for 1998 assume that the proportion in 1998 was the same as in 1997.
</t>
    </r>
    <r>
      <rPr>
        <sz val="9"/>
        <color rgb="FF800000"/>
        <rFont val="Times"/>
        <family val="1"/>
      </rPr>
      <t>Dark red</t>
    </r>
    <r>
      <rPr>
        <sz val="9"/>
        <color theme="1"/>
        <rFont val="Times"/>
        <family val="1"/>
      </rPr>
      <t xml:space="preserve"> data for 1998 are from Source 28 (Salta) and 29 (Santa Fé).
</t>
    </r>
    <r>
      <rPr>
        <sz val="9"/>
        <color theme="8"/>
        <rFont val="Times"/>
        <family val="1"/>
      </rPr>
      <t>Turquoise</t>
    </r>
    <r>
      <rPr>
        <sz val="9"/>
        <color rgb="FF800000"/>
        <rFont val="Times"/>
        <family val="1"/>
      </rPr>
      <t xml:space="preserve"> </t>
    </r>
    <r>
      <rPr>
        <sz val="9"/>
        <rFont val="Times"/>
        <family val="1"/>
      </rPr>
      <t xml:space="preserve">data for 1998 are eyeballed from a graph in Source 20. </t>
    </r>
  </si>
  <si>
    <r>
      <rPr>
        <sz val="9"/>
        <color rgb="FFFF0000"/>
        <rFont val="Times"/>
        <family val="1"/>
      </rPr>
      <t>Red</t>
    </r>
    <r>
      <rPr>
        <sz val="9"/>
        <color theme="1"/>
        <rFont val="Times"/>
        <family val="1"/>
      </rPr>
      <t xml:space="preserve"> data for 1996 are from this workbook, worksheet "ProvDeps%Fem1ºSources"
</t>
    </r>
    <r>
      <rPr>
        <sz val="9"/>
        <color rgb="FF800000"/>
        <rFont val="Times"/>
        <family val="1"/>
      </rPr>
      <t>Dark red</t>
    </r>
    <r>
      <rPr>
        <sz val="9"/>
        <color theme="1"/>
        <rFont val="Times"/>
        <family val="1"/>
      </rPr>
      <t xml:space="preserve"> data for 1996 are from Source 25 (Capital Federal), 28 (Salta), or 29 (Santa Fé).
</t>
    </r>
    <r>
      <rPr>
        <sz val="9"/>
        <color theme="8"/>
        <rFont val="Times"/>
        <family val="1"/>
      </rPr>
      <t>Turquoise</t>
    </r>
    <r>
      <rPr>
        <sz val="9"/>
        <color theme="1"/>
        <rFont val="Times"/>
        <family val="1"/>
      </rPr>
      <t xml:space="preserve"> data for 1996 for La Rioja are eyeballed from a graph in Source 20.
</t>
    </r>
    <r>
      <rPr>
        <sz val="9"/>
        <color rgb="FF660066"/>
        <rFont val="Times"/>
        <family val="1"/>
      </rPr>
      <t>Purple</t>
    </r>
    <r>
      <rPr>
        <sz val="9"/>
        <color theme="1"/>
        <rFont val="Times"/>
        <family val="1"/>
      </rPr>
      <t xml:space="preserve"> data from Source 14. </t>
    </r>
  </si>
  <si>
    <r>
      <rPr>
        <sz val="9"/>
        <color rgb="FFFF0000"/>
        <rFont val="Times"/>
        <family val="1"/>
      </rPr>
      <t>Red</t>
    </r>
    <r>
      <rPr>
        <sz val="9"/>
        <color theme="1"/>
        <rFont val="Times"/>
        <family val="1"/>
      </rPr>
      <t xml:space="preserve"> data for 1994 are from this workbook, worksheet "ProvDeps%Fem1ºSources"
</t>
    </r>
    <r>
      <rPr>
        <sz val="9"/>
        <color rgb="FF800000"/>
        <rFont val="Times"/>
        <family val="1"/>
      </rPr>
      <t>Dark red</t>
    </r>
    <r>
      <rPr>
        <sz val="9"/>
        <color theme="1"/>
        <rFont val="Times"/>
        <family val="1"/>
      </rPr>
      <t xml:space="preserve"> data for 1994 are from Source 25 (Capital Federal), 28 (Salta), or 29 (Santa Fé).
</t>
    </r>
    <r>
      <rPr>
        <sz val="9"/>
        <color rgb="FF008000"/>
        <rFont val="Times"/>
        <family val="1"/>
      </rPr>
      <t>Green</t>
    </r>
    <r>
      <rPr>
        <sz val="9"/>
        <color theme="1"/>
        <rFont val="Times"/>
        <family val="1"/>
      </rPr>
      <t xml:space="preserve"> data for 1994 assume that the proportion in 1994 was the same as in 1993.
</t>
    </r>
    <r>
      <rPr>
        <sz val="9"/>
        <color theme="8"/>
        <rFont val="Times"/>
        <family val="1"/>
      </rPr>
      <t>Turquoise</t>
    </r>
    <r>
      <rPr>
        <sz val="9"/>
        <color theme="1"/>
        <rFont val="Times"/>
        <family val="1"/>
      </rPr>
      <t xml:space="preserve"> data for 1994 are eyeballed from graphs in Source 20.
</t>
    </r>
    <r>
      <rPr>
        <b/>
        <sz val="9"/>
        <color theme="1"/>
        <rFont val="Times"/>
        <family val="1"/>
      </rPr>
      <t>intv</t>
    </r>
    <r>
      <rPr>
        <sz val="9"/>
        <color theme="1"/>
        <rFont val="Times"/>
        <family val="1"/>
      </rPr>
      <t xml:space="preserve"> means that the province (Santiago del Estero) was under federal intervention for the 1994 legislative year.</t>
    </r>
  </si>
  <si>
    <r>
      <rPr>
        <sz val="9"/>
        <color rgb="FFFF0000"/>
        <rFont val="Times"/>
        <family val="1"/>
      </rPr>
      <t>Red</t>
    </r>
    <r>
      <rPr>
        <sz val="9"/>
        <color theme="1"/>
        <rFont val="Times"/>
        <family val="1"/>
      </rPr>
      <t xml:space="preserve"> data for 2002 are from this workbook, worksheet "ProvDeps%Fem1ºSources"
</t>
    </r>
    <r>
      <rPr>
        <sz val="9"/>
        <color rgb="FF008000"/>
        <rFont val="Times"/>
        <family val="1"/>
      </rPr>
      <t>Green</t>
    </r>
    <r>
      <rPr>
        <sz val="9"/>
        <color theme="1"/>
        <rFont val="Times"/>
        <family val="1"/>
      </rPr>
      <t xml:space="preserve"> data for 2002 assume that the proportion in 2002 was the same as in 2001 or 2003 (Mendoza).
</t>
    </r>
    <r>
      <rPr>
        <sz val="9"/>
        <color rgb="FF800000"/>
        <rFont val="Times"/>
        <family val="1"/>
      </rPr>
      <t>Dark red</t>
    </r>
    <r>
      <rPr>
        <sz val="9"/>
        <color theme="1"/>
        <rFont val="Times"/>
        <family val="1"/>
      </rPr>
      <t xml:space="preserve"> data for 2002 are from Source 28 (Salta) and Source 29 (Santa Fé).
</t>
    </r>
    <r>
      <rPr>
        <sz val="9"/>
        <color theme="8"/>
        <rFont val="Times"/>
        <family val="1"/>
      </rPr>
      <t>Turquoise</t>
    </r>
    <r>
      <rPr>
        <sz val="9"/>
        <rFont val="Times"/>
        <family val="1"/>
      </rPr>
      <t xml:space="preserve"> data for 2002 from Source 20 (eyeballed from graph, for what is presumed to be the election year "2001").</t>
    </r>
    <r>
      <rPr>
        <sz val="9"/>
        <color theme="8"/>
        <rFont val="Times"/>
        <family val="1"/>
      </rPr>
      <t xml:space="preserve">
</t>
    </r>
    <r>
      <rPr>
        <sz val="9"/>
        <color rgb="FF0000FF"/>
        <rFont val="Times"/>
        <family val="1"/>
      </rPr>
      <t>Blue</t>
    </r>
    <r>
      <rPr>
        <sz val="9"/>
        <color theme="8"/>
        <rFont val="Times"/>
        <family val="1"/>
      </rPr>
      <t xml:space="preserve"> </t>
    </r>
    <r>
      <rPr>
        <sz val="9"/>
        <rFont val="Times"/>
        <family val="1"/>
      </rPr>
      <t>data for 2002 (La Rioja and Santiago del Estero) from Source 17.</t>
    </r>
    <r>
      <rPr>
        <sz val="9"/>
        <color theme="8"/>
        <rFont val="Times"/>
        <family val="1"/>
      </rPr>
      <t xml:space="preserve"> </t>
    </r>
  </si>
  <si>
    <r>
      <rPr>
        <sz val="9"/>
        <color rgb="FFFF0000"/>
        <rFont val="Times"/>
        <family val="1"/>
      </rPr>
      <t>Red</t>
    </r>
    <r>
      <rPr>
        <sz val="9"/>
        <color theme="1"/>
        <rFont val="Times"/>
        <family val="1"/>
      </rPr>
      <t xml:space="preserve"> data for 2003 are from this workbook, worksheet "ProvDeps%Fem1ºSources"
</t>
    </r>
    <r>
      <rPr>
        <sz val="9"/>
        <color rgb="FF008000"/>
        <rFont val="Times"/>
        <family val="1"/>
      </rPr>
      <t>Green</t>
    </r>
    <r>
      <rPr>
        <sz val="9"/>
        <color theme="1"/>
        <rFont val="Times"/>
        <family val="1"/>
      </rPr>
      <t xml:space="preserve"> data for 2003 assume that the proportion in 2003 was the same as in 2002
</t>
    </r>
    <r>
      <rPr>
        <sz val="9"/>
        <color rgb="FF800000"/>
        <rFont val="Times"/>
        <family val="1"/>
      </rPr>
      <t>Dark red</t>
    </r>
    <r>
      <rPr>
        <sz val="9"/>
        <color theme="1"/>
        <rFont val="Times"/>
        <family val="1"/>
      </rPr>
      <t xml:space="preserve"> data for 2003 are from Source 29 (Santa Fé).</t>
    </r>
    <r>
      <rPr>
        <b/>
        <sz val="9"/>
        <color theme="1"/>
        <rFont val="Times"/>
        <family val="1"/>
      </rPr>
      <t/>
    </r>
  </si>
  <si>
    <r>
      <rPr>
        <sz val="9"/>
        <color rgb="FFFF0000"/>
        <rFont val="Times"/>
        <family val="1"/>
      </rPr>
      <t>Red</t>
    </r>
    <r>
      <rPr>
        <sz val="9"/>
        <color theme="1"/>
        <rFont val="Times"/>
        <family val="1"/>
      </rPr>
      <t xml:space="preserve"> data for 2005 are from this workbook, worksheet "ProvDeps%Fem1ºSources"
</t>
    </r>
    <r>
      <rPr>
        <sz val="9"/>
        <color rgb="FF008000"/>
        <rFont val="Times"/>
        <family val="1"/>
      </rPr>
      <t>Green</t>
    </r>
    <r>
      <rPr>
        <sz val="9"/>
        <color theme="1"/>
        <rFont val="Times"/>
        <family val="1"/>
      </rPr>
      <t xml:space="preserve"> data for 2005 assume that the proportion in 2005 was the same as in 2004.
</t>
    </r>
    <r>
      <rPr>
        <b/>
        <sz val="9"/>
        <color theme="1"/>
        <rFont val="Times"/>
        <family val="1"/>
      </rPr>
      <t/>
    </r>
  </si>
  <si>
    <r>
      <rPr>
        <sz val="9"/>
        <color rgb="FFFF0000"/>
        <rFont val="Times"/>
        <family val="1"/>
      </rPr>
      <t>Red</t>
    </r>
    <r>
      <rPr>
        <sz val="9"/>
        <color theme="1"/>
        <rFont val="Times"/>
        <family val="1"/>
      </rPr>
      <t xml:space="preserve"> data for 2007 from this workbook, worksheet "ProvDeps%Fem1ºSources"
</t>
    </r>
    <r>
      <rPr>
        <sz val="9"/>
        <color rgb="FF0000FF"/>
        <rFont val="Times"/>
        <family val="1"/>
      </rPr>
      <t>Blue</t>
    </r>
    <r>
      <rPr>
        <sz val="9"/>
        <color theme="1"/>
        <rFont val="Times"/>
        <family val="1"/>
      </rPr>
      <t xml:space="preserve"> data for 2007 are calculated from absolute numbers in Source 4.</t>
    </r>
  </si>
  <si>
    <r>
      <rPr>
        <sz val="9"/>
        <color rgb="FFFF0000"/>
        <rFont val="Times"/>
        <family val="1"/>
      </rPr>
      <t>Red</t>
    </r>
    <r>
      <rPr>
        <sz val="9"/>
        <color theme="1"/>
        <rFont val="Times"/>
        <family val="1"/>
      </rPr>
      <t xml:space="preserve"> data for 2006 are from this workbook, worksheet "ProvDeps%Fem1ºSources"
</t>
    </r>
    <r>
      <rPr>
        <sz val="9"/>
        <color rgb="FF008000"/>
        <rFont val="Times"/>
        <family val="1"/>
      </rPr>
      <t>Green</t>
    </r>
    <r>
      <rPr>
        <sz val="9"/>
        <color theme="1"/>
        <rFont val="Times"/>
        <family val="1"/>
      </rPr>
      <t xml:space="preserve"> data for 2006 assume that the proportion in 2006 was the same as in 2007.
</t>
    </r>
    <r>
      <rPr>
        <sz val="9"/>
        <color rgb="FF800000"/>
        <rFont val="Times"/>
        <family val="1"/>
      </rPr>
      <t>Dark red</t>
    </r>
    <r>
      <rPr>
        <sz val="9"/>
        <color theme="1"/>
        <rFont val="Times"/>
        <family val="1"/>
      </rPr>
      <t xml:space="preserve"> data for 2006 are from Source 28 (Salta).</t>
    </r>
    <r>
      <rPr>
        <b/>
        <sz val="9"/>
        <color theme="1"/>
        <rFont val="Times"/>
        <family val="1"/>
      </rPr>
      <t/>
    </r>
  </si>
  <si>
    <t>Source 13: Equipo Latinoamericano de Justicia y Género - ELA: Informe sobre género y derechos humanos en Argentina (2005-2008). 1a. ed.
Buenos Aires: Biblos, 2009, pp. 81-82. Accessed January 15, 2013, at http://www.ela.org.ar/a2/index.cfm?fuseaction=MUESTRA&amp;codcontenido=29&amp;plcontampl=6&amp;aplicacion=app187&amp;cnl=14&amp;opc=9</t>
  </si>
  <si>
    <r>
      <rPr>
        <sz val="9"/>
        <color rgb="FFFF0000"/>
        <rFont val="Times"/>
        <family val="1"/>
      </rPr>
      <t>Red</t>
    </r>
    <r>
      <rPr>
        <sz val="9"/>
        <color theme="1"/>
        <rFont val="Times"/>
        <family val="1"/>
      </rPr>
      <t xml:space="preserve"> data for 2008 from this workbook, worksheet "ProvDeps%Fem1ºSources"
</t>
    </r>
    <r>
      <rPr>
        <sz val="9"/>
        <color rgb="FF0000FF"/>
        <rFont val="Times"/>
        <family val="1"/>
      </rPr>
      <t>Blue</t>
    </r>
    <r>
      <rPr>
        <sz val="9"/>
        <color theme="1"/>
        <rFont val="Times"/>
        <family val="1"/>
      </rPr>
      <t xml:space="preserve"> data for 2008 from Source 13. </t>
    </r>
  </si>
  <si>
    <t>La Rioja: Periodical source confirms that there were 2 female provincial deputies (8.7% of the total of 23) as of 19 July 2009, Camila Herrera y Sara Barrera. http://www.poderlocal.net/leer_noticias.asp?ID=48884</t>
  </si>
  <si>
    <r>
      <t xml:space="preserve">2009-2013: Deputies elect from 30 Nov 2008 election from </t>
    </r>
    <r>
      <rPr>
        <i/>
        <sz val="9"/>
        <color theme="1"/>
        <rFont val="Times"/>
        <family val="1"/>
      </rPr>
      <t>Santiago al Día</t>
    </r>
    <r>
      <rPr>
        <sz val="9"/>
        <color theme="1"/>
        <rFont val="Times"/>
        <family val="1"/>
      </rPr>
      <t xml:space="preserve"> 1 December 2008, accessed October 10, 2014, at http://santiagoaldia.com.ar/vivvo_general/315.html?printfrom Deputies completing their terms in 2013 from http://andytow.com/atlas/totalpais/santiago/2013dp.html. Only 2 changes: Graciela Navarro replaced Quinto Mastroiacovo (who decided to stay on as mayor of Loreto) before start of 2009 legislative session; Castor López replaced Ashad Bitar who died February 2010. Hence no change in number of female deps 2009-2013. 2014: Deputies scheduled to be sworn in 10 Dec 2013 according to http://www.nuevodiarioweb.com.ar/nota/seccion/496028/juraron-diputados-provinciales-electos</t>
    </r>
  </si>
  <si>
    <r>
      <rPr>
        <sz val="9"/>
        <color rgb="FFFF0000"/>
        <rFont val="Times"/>
        <family val="1"/>
      </rPr>
      <t>Red</t>
    </r>
    <r>
      <rPr>
        <sz val="9"/>
        <color theme="1"/>
        <rFont val="Times"/>
        <family val="1"/>
      </rPr>
      <t xml:space="preserve"> data for 2009 are from this workbook, worksheet "ProvDeps%Fem1ºSources"
</t>
    </r>
    <r>
      <rPr>
        <sz val="9"/>
        <color rgb="FF008000"/>
        <rFont val="Times"/>
        <family val="1"/>
      </rPr>
      <t>Green</t>
    </r>
    <r>
      <rPr>
        <sz val="9"/>
        <color theme="1"/>
        <rFont val="Times"/>
        <family val="1"/>
      </rPr>
      <t xml:space="preserve"> data for 2009 assume that the proportion in 2009 was the same as in 2008.
</t>
    </r>
    <r>
      <rPr>
        <b/>
        <sz val="9"/>
        <color theme="1"/>
        <rFont val="Times"/>
        <family val="1"/>
      </rPr>
      <t/>
    </r>
  </si>
  <si>
    <r>
      <rPr>
        <sz val="9"/>
        <color rgb="FFFF0000"/>
        <rFont val="Times"/>
        <family val="1"/>
      </rPr>
      <t>Red</t>
    </r>
    <r>
      <rPr>
        <sz val="9"/>
        <color theme="1"/>
        <rFont val="Times"/>
        <family val="1"/>
      </rPr>
      <t xml:space="preserve"> data for 2010 are from this workbook, worksheet "ProvDeps%Fem1ºSources"
</t>
    </r>
    <r>
      <rPr>
        <sz val="9"/>
        <color rgb="FF008000"/>
        <rFont val="Times"/>
        <family val="1"/>
      </rPr>
      <t>Green</t>
    </r>
    <r>
      <rPr>
        <sz val="9"/>
        <color theme="1"/>
        <rFont val="Times"/>
        <family val="1"/>
      </rPr>
      <t xml:space="preserve"> data for 2010 assume that the proportion in 2010 was the same as in 2009.
</t>
    </r>
    <r>
      <rPr>
        <b/>
        <sz val="9"/>
        <color theme="1"/>
        <rFont val="Times"/>
        <family val="1"/>
      </rPr>
      <t/>
    </r>
  </si>
  <si>
    <r>
      <rPr>
        <sz val="9"/>
        <color rgb="FFFF0000"/>
        <rFont val="Times"/>
        <family val="1"/>
      </rPr>
      <t>Red</t>
    </r>
    <r>
      <rPr>
        <sz val="9"/>
        <color theme="1"/>
        <rFont val="Times"/>
        <family val="1"/>
      </rPr>
      <t xml:space="preserve"> data for 2011 are from this workbook, worksheet "ProvDeps%Fem1ºSources"
</t>
    </r>
    <r>
      <rPr>
        <sz val="9"/>
        <color rgb="FF008000"/>
        <rFont val="Times"/>
        <family val="1"/>
      </rPr>
      <t>Green</t>
    </r>
    <r>
      <rPr>
        <sz val="9"/>
        <color theme="1"/>
        <rFont val="Times"/>
        <family val="1"/>
      </rPr>
      <t xml:space="preserve"> data for 2011 assume that the proportion in 2011 was the same as in 2010.
</t>
    </r>
    <r>
      <rPr>
        <b/>
        <sz val="9"/>
        <color theme="1"/>
        <rFont val="Times"/>
        <family val="1"/>
      </rPr>
      <t/>
    </r>
  </si>
  <si>
    <r>
      <rPr>
        <sz val="9"/>
        <color rgb="FFFF0000"/>
        <rFont val="Times"/>
        <family val="1"/>
      </rPr>
      <t>Red</t>
    </r>
    <r>
      <rPr>
        <sz val="9"/>
        <color theme="1"/>
        <rFont val="Times"/>
        <family val="1"/>
      </rPr>
      <t xml:space="preserve"> data for 2012 from this workbook, worksheet "ProvDeps%Fem1ºSources"</t>
    </r>
  </si>
  <si>
    <r>
      <rPr>
        <sz val="9"/>
        <color rgb="FFFF0000"/>
        <rFont val="Times"/>
        <family val="1"/>
      </rPr>
      <t>Red</t>
    </r>
    <r>
      <rPr>
        <sz val="9"/>
        <color theme="1"/>
        <rFont val="Times"/>
        <family val="1"/>
      </rPr>
      <t xml:space="preserve"> data for 2013 are from this workbook, worksheet "ProvDeps%Fem1ºSources"
</t>
    </r>
    <r>
      <rPr>
        <sz val="9"/>
        <color rgb="FF008000"/>
        <rFont val="Times"/>
        <family val="1"/>
      </rPr>
      <t>Green</t>
    </r>
    <r>
      <rPr>
        <sz val="9"/>
        <color theme="1"/>
        <rFont val="Times"/>
        <family val="1"/>
      </rPr>
      <t xml:space="preserve"> data for 2013 assume that the proportion in 2013 was the same as in 2012
</t>
    </r>
    <r>
      <rPr>
        <b/>
        <sz val="9"/>
        <color theme="1"/>
        <rFont val="Times"/>
        <family val="1"/>
      </rPr>
      <t/>
    </r>
  </si>
  <si>
    <r>
      <rPr>
        <sz val="9"/>
        <color rgb="FFFF0000"/>
        <rFont val="Times"/>
        <family val="1"/>
      </rPr>
      <t>Red</t>
    </r>
    <r>
      <rPr>
        <sz val="9"/>
        <color theme="1"/>
        <rFont val="Times"/>
        <family val="1"/>
      </rPr>
      <t xml:space="preserve"> data for 2014 from this workbook, worksheet "ProvDeps%Fem1ºSources"</t>
    </r>
  </si>
  <si>
    <r>
      <rPr>
        <sz val="9"/>
        <color rgb="FFFF0000"/>
        <rFont val="Times"/>
        <family val="1"/>
      </rPr>
      <t>Red</t>
    </r>
    <r>
      <rPr>
        <sz val="9"/>
        <color theme="1"/>
        <rFont val="Times"/>
        <family val="1"/>
      </rPr>
      <t xml:space="preserve"> data for 2004 are from this workbook, worksheet "ProvDeps%Fem1ºSources"
</t>
    </r>
    <r>
      <rPr>
        <sz val="9"/>
        <color rgb="FF800000"/>
        <rFont val="Times"/>
        <family val="1"/>
      </rPr>
      <t>Dark red</t>
    </r>
    <r>
      <rPr>
        <sz val="9"/>
        <color theme="1"/>
        <rFont val="Times"/>
        <family val="1"/>
      </rPr>
      <t xml:space="preserve"> data for 2004 are from Source 28 (Salta) and Source 29 (Santa Fé).
</t>
    </r>
    <r>
      <rPr>
        <sz val="9"/>
        <color rgb="FF0000FF"/>
        <rFont val="Times"/>
        <family val="1"/>
      </rPr>
      <t>Blue</t>
    </r>
    <r>
      <rPr>
        <sz val="9"/>
        <color theme="1"/>
        <rFont val="Times"/>
        <family val="1"/>
      </rPr>
      <t xml:space="preserve"> data for 2004 for La Rioja and San Luis are calculated from absolute numbers in from Source 8.
</t>
    </r>
    <r>
      <rPr>
        <b/>
        <sz val="9"/>
        <color theme="1"/>
        <rFont val="Times"/>
        <family val="1"/>
      </rPr>
      <t>intv</t>
    </r>
    <r>
      <rPr>
        <sz val="9"/>
        <color theme="1"/>
        <rFont val="Times"/>
        <family val="1"/>
      </rPr>
      <t xml:space="preserve"> means that the province (Santiago del Estero) was under federal intervention for the 2004 legislative year.</t>
    </r>
  </si>
  <si>
    <t>2003</t>
  </si>
  <si>
    <t>2004</t>
  </si>
  <si>
    <t>2006</t>
  </si>
  <si>
    <t>2007</t>
  </si>
  <si>
    <t>2008</t>
  </si>
  <si>
    <t>Calculated from Argentina. Ministerio de Salud (2013). Estadísticas vitales: Información basica - Año 2012. Dirección de Estadísticas e Información de Salud. Serie 5, Número 56, p. 92. Diciembre. Buenos Aires: Ministerio de Salud. Accessed June 26, 2014, at http://www.deis.gov.ar/publicaciones/archivos/Serie5Nro56.pdf</t>
  </si>
  <si>
    <t>MMR03</t>
  </si>
  <si>
    <t>MMR04</t>
  </si>
  <si>
    <t>MMR05</t>
  </si>
  <si>
    <t>MMR06</t>
  </si>
  <si>
    <t>MMR07</t>
  </si>
  <si>
    <t>MMR08</t>
  </si>
  <si>
    <t>MMR09</t>
  </si>
  <si>
    <t>MMR10</t>
  </si>
  <si>
    <t>MMR11</t>
  </si>
  <si>
    <t>MMR12</t>
  </si>
  <si>
    <t>Min Econ 1</t>
  </si>
  <si>
    <t>Fuente: Consejo Federal de Inversiones. Recopilado por: Provinfo. Clasificación y metodología utilizada por el CFI. Calculated from values expressed in Millones de Pesos Ley 18188.</t>
  </si>
  <si>
    <t>Fuente: Consejo Federal de Inversiones. Recopilado por: Provinfo. Clasificación y metodología utilizada por el CFI. Calculated from values expressed in Miles de Pesos Argentinos.</t>
  </si>
  <si>
    <t>Fuente: Consejo Federal de Inversiones. Recopilado por: Provinfo. Clasificación y metodología utilizada por el CFI. Calculated from values expressed in Miles de Australes.</t>
  </si>
  <si>
    <t>Fuente: Consejo Federal de Inversiones. Recopilado por: Provinfo. Clasificación y metodología utilizada por el CFI. Calculated from values expressed in Milliones de Australes.</t>
  </si>
  <si>
    <t>Calculated from Base de Datos Provinciales del Centro de Investigaciones en Administracion Publica (BASECIAP), Facultad de Ciencias Económicas, Universidad de Buenos Aires. "Ejecución presupuestaria por finalidad y función. Período 1970-1992." Accessed October 11, 2014, at http://www.econ.uba.ar/www/institutos/admin/ciap/baseciap/base.htm</t>
  </si>
  <si>
    <t>Fuente: Dirección Nacional de Coordinación Fiscal con las Provincias - Ministerio de Economía y Producción. Pertains to Administracion Central, Organismos Descentralizados y Cuentas Especiales. Calculated from values expressed in Millones de Pesos Corrientes.</t>
  </si>
  <si>
    <t>Fuente: Dirección Nacional de Coordinación Fiscal con las Provincias - Ministerio de Economía y Producción. Pertains to Administracion Central, Organismos Descentralizados y Cuentas Especiales. Calculated from values expressed in Miles de Pesos Corrientes.</t>
  </si>
  <si>
    <t>Fuente: Dirección Nacional de Coordinación Fiscal con las Provincias - Ministerio de Economía y Producción. Pertains to Administracion Central, Organismos Descentralizados y Cuentas Especiales. Calculated from values expressed in Milliones de Pesos Corrientes.</t>
  </si>
  <si>
    <t>Calculated from Base de Datos Provinciales del Centro de Investigaciones en Administracion Publica (BASECIAP), Facultad de Ciencias Económicas, Universidad de Buenos Aires. "Ejecución por finalidad y función a partir de 2008, Administración Pública no Financiera" Accessed October 11, 2014, at http://www.econ.uba.ar/www/institutos/admin/ciap/baseciap/base.htm</t>
  </si>
  <si>
    <t>Calculated from Base de Datos Provinciales del Centro de Investigaciones en Administracion Publica (BASECIAP), Facultad de Ciencias Económicas, Universidad de Buenos Aires. "Ejecución por finalidad y función 1991-2007. Administracion Central, Organismos Descentralizados y Cuentas Especiales." Accessed October 11, 2014, at http://www.econ.uba.ar/www/institutos/admin/ciap/baseciap/base.htm</t>
  </si>
  <si>
    <t>Fuente: Dirección Nacional de Coordinación Fiscal con las Provincias - Ministerio de Economía y Producción. Pertains to Administracion Central, Organismos Descentralizados y Cuentas Especiales. Calculated from values expressed in Miles de Pesos Corrientes. Las cifras de San Luis y Santa Cruz son estimadas.</t>
  </si>
  <si>
    <t>Fuente: Dirección Nacional de Coordinación Fiscal con las Provincias - Ministerio de Economía y Producción. Pertains to Administracion Central, Organismos Descentralizados y Cuentas Especiales. Calculated from values expressed in Miles de Pesos Corrientes. Los datos son estimados, sujetos a revisión.</t>
  </si>
  <si>
    <t>Fuente: Dirección Nacional de Coordinación Fiscal con las Provincias - Ministerio de Economía y Producción. Pertains to Administracion Central, Organismos Descentralizados y Cuentas Especiales. Calculated from values expressed in Miles de Pesos Corrientes.  Las cifras de Catamarca, Córdoba, Corrientes, Jujuy, La Pampa, Neuquén, Río Negro, San Luis, Santa Fe, Santiago del Estero, Tucumán y Tierra del Fuego son estimadas.</t>
  </si>
  <si>
    <t>Fuente: Dirección Nacional de Coordinación Fiscal con las Provincias - Ministerio de Economía y Producción. Pertains to Administracion Central, Organismos Descentralizados y Cuentas Especiales. Calculated from values expressed in Miles de Pesos Corrientes. Estimación.</t>
  </si>
  <si>
    <t>Fuente: Dirección Nacional de Coordinación Fiscal con las Provincias - Ministerio de Economía y Producción. Pertains to Administracion Central, Organismos Descentralizados y Cuentas Especiales. Calculated from values expressed in Miles de Pesos Corrientes. Las cifras de Corrientes, La Pampa, Mendoza, San Luis y Santa Cruz  son estimadas por no disponer de información de estas provincias. La finalidad Servicios Sociales se informa desagregada por función. Para las provincias de Formosa y San Juan  se realizaron estimaciones por no disponer de esta información.</t>
  </si>
  <si>
    <t>Fuente: Dirección Nacional de Coordinación Fiscal con las Provincias - Ministerio de Economía y Producción. Pertains to Administracion Central, Organismos Descentralizados y Cuentas Especiales. Calculated from values expressed in Miles de Pesos Corrientes. Datos sujetos a revisión. Las cifras de  La Pampa, Mendoza, Santa Cruz y Tierra del Fuego son estimadas por no disponer de información de estas provincias. La finalidad Servicios Sociales se informa desagregada por función. Para las provincias de Formosa, La Rioja y San Juan se realizaron estimaciones por no disponer de esta información.</t>
  </si>
  <si>
    <t>Fuente: Dirección Nacional de Coordinación Fiscal con las Provincias - Ministerio de Economía y Producción. Pertains to Administracion Central, Organismos Descentralizados y Cuentas Especiales. Calculated from values expressed in Miles de Pesos Corrientes. Datos sujetos a revisión. Las cifras de La Pampa, Santa Cruz y Tierra del Fuego son estimadas por no disponer de información de estas provincias. La finalidad Servicios Sociales se informa desagregada por función. Para las provincias de Formosa, Mendoza y San Juan se realizaron estimaciones por no disponer de esta información.</t>
  </si>
  <si>
    <t>Residential electricity consumpton billed, in MWh, 1970</t>
  </si>
  <si>
    <t>Turnout in provincial deputy election (votes divided by eligible voters), 1985</t>
  </si>
  <si>
    <t>% of votes in provincial deputy election going to the most-voted party or coalition, 1983</t>
  </si>
  <si>
    <t>Per capita residential electricity consumpton billed, in KWh per capita, 1970</t>
  </si>
  <si>
    <t>Births outside medical facilities as a share of all births, 2012</t>
  </si>
  <si>
    <t>BIROUT2012</t>
  </si>
  <si>
    <t>Births in medical facilities as a share of all births, 2012</t>
  </si>
  <si>
    <t>BIRFAC2012</t>
  </si>
  <si>
    <t>Births in private homes as a share of all births, 2010</t>
  </si>
  <si>
    <t>Births in private homes as a share of all births, 2011</t>
  </si>
  <si>
    <t>Births in private homes as a share of all births, 2012</t>
  </si>
  <si>
    <t>BIRHOM2010</t>
  </si>
  <si>
    <t>BIRHOM2011</t>
  </si>
  <si>
    <t>BIRHOM2012</t>
  </si>
  <si>
    <r>
      <t xml:space="preserve">Calculated from Argentina. Ministerio de Salud. Dirección de Estadística e Información de Salud (2010). </t>
    </r>
    <r>
      <rPr>
        <u/>
        <sz val="9"/>
        <rFont val="Times New Roman"/>
        <family val="1"/>
      </rPr>
      <t>Estadísticas vitales. Información basica - 2009</t>
    </r>
    <r>
      <rPr>
        <sz val="9"/>
        <rFont val="Times New Roman"/>
        <family val="1"/>
      </rPr>
      <t>. Serie 5 No. 53. Diciembre de 2010. Buenos Aires: Ministerio de Salud. Tabla 18, Nacidos vivos registrados según local de ocurrencia, Año 2009 (p. 21).</t>
    </r>
  </si>
  <si>
    <r>
      <t xml:space="preserve">Calculated from Argentina. Ministerio de Salud. Dirección de Estadística e Información de Salud (2011). </t>
    </r>
    <r>
      <rPr>
        <u/>
        <sz val="9"/>
        <rFont val="Times New Roman"/>
        <family val="1"/>
      </rPr>
      <t>Estadísticas vitales. Información basica - 2010</t>
    </r>
    <r>
      <rPr>
        <sz val="9"/>
        <rFont val="Times New Roman"/>
        <family val="1"/>
      </rPr>
      <t>. Serie 5 No. 54. Diciembre de 2011. Buenos Aires: Ministerio de Salud. Tabla 18, Nacidos vivos registrados según local de ocurrencia, Año 2010 (p. 21).</t>
    </r>
  </si>
  <si>
    <r>
      <t xml:space="preserve">Calculated from Argentina. Ministerio de Salud. Dirección de Estadística e Información de Salud (2012). </t>
    </r>
    <r>
      <rPr>
        <u/>
        <sz val="9"/>
        <rFont val="Times New Roman"/>
        <family val="1"/>
      </rPr>
      <t>Estadísticas vitales. Información basica - 2011</t>
    </r>
    <r>
      <rPr>
        <sz val="9"/>
        <rFont val="Times New Roman"/>
        <family val="1"/>
      </rPr>
      <t>. Serie 5 No. 55. Diciembre de 2012. Buenos Aires: Ministerio de Salud. Tabla 17, Nacidos vivos registrados según local de ocurrencia, Año 2011 (p. 22).</t>
    </r>
  </si>
  <si>
    <t>Gross Provincial Product per capita in 1986 pesos, 1970</t>
  </si>
  <si>
    <t>Gross Provincial Product per capita in 1986 pesos, 1980</t>
  </si>
  <si>
    <t>Gross Provincial Product per capita in 2005 US$, 1988, based on data for share of GDP produced by each province from UN La Plata (1970-1997) or CEPAL (1998-2005; SHAR)</t>
  </si>
  <si>
    <t>Gross Provincial Product per capita in 1993 pesos, 1987, estimated on the basis of residential electrical consumption</t>
  </si>
  <si>
    <t xml:space="preserve"> Includes only the share of GDP that can be assigned to specific provinces; National GDP in 2005 $US (PWT 6.3, var. RGDPCH).</t>
  </si>
  <si>
    <t>HealthPersFacil</t>
  </si>
  <si>
    <t>MortalityInfant</t>
  </si>
  <si>
    <t>MortalityMaternal</t>
  </si>
  <si>
    <t>MortalityOther</t>
  </si>
  <si>
    <t>ProvDepsTotalSeats</t>
  </si>
  <si>
    <t>ProvDepsTotalSeats2ºSources</t>
  </si>
  <si>
    <t>ProvDepsNºFem1ºSources</t>
  </si>
  <si>
    <t>Gross Provincial Product per capita</t>
  </si>
  <si>
    <t>Income inequality in the province's major metropolitan area(s)</t>
  </si>
  <si>
    <t>Employment, unemployment, and labor force statistics</t>
  </si>
  <si>
    <t>Public spending on health care</t>
  </si>
  <si>
    <t>Public spending total and by function</t>
  </si>
  <si>
    <t>Total, public, and private health care spending</t>
  </si>
  <si>
    <t>Share of births in medical facilities, at home, and attended by professionals</t>
  </si>
  <si>
    <t>Health personnel and health facilities</t>
  </si>
  <si>
    <t>Water, sanitation, and housing</t>
  </si>
  <si>
    <t>Schooling and educational attainment</t>
  </si>
  <si>
    <t>Infant mortality rate</t>
  </si>
  <si>
    <t>Maternal mortality ratio</t>
  </si>
  <si>
    <t>Life expectancy and other mortality statistics</t>
  </si>
  <si>
    <t>Total population</t>
  </si>
  <si>
    <t>Provincial surface area and capital city name, latitude, and longitude</t>
  </si>
  <si>
    <t>Provincial legislatures: institutional characteristics</t>
  </si>
  <si>
    <t>Turnout in provincial deputy election (votes divided by eligible voters)</t>
  </si>
  <si>
    <t>Closeness of provincial deputy election (alternative measures)</t>
  </si>
  <si>
    <t>Provincial gender quotas: size, dates, placement mandates, sanctions</t>
  </si>
  <si>
    <t>Total seats in the provincial unicameral or lower house</t>
  </si>
  <si>
    <t>Total seats in the provincial unicameral or lower house, alternative sources</t>
  </si>
  <si>
    <t>Percentage of provincial deputy seats held by women, secondary sources</t>
  </si>
  <si>
    <t>Percentage of provincial deputy seats held by women, all sources reconciled</t>
  </si>
  <si>
    <t>Number of national deputy seats held by women</t>
  </si>
  <si>
    <t>ProvDepsElecCompet</t>
  </si>
  <si>
    <t>Peronist-dominated coalition wins most votes in provincial deputy election</t>
  </si>
  <si>
    <t>PJ or Peronist-dominated coalition wins the most votes in the election for the provincial unicameral or lower-house legislative chamber: yes=1, no=0, 1983</t>
  </si>
  <si>
    <t>PJ or Peronist-dominated coalition wins the most votes in the election for the provincial unicameral or lower-house legislative chamber: yes=1, no=0, 1985</t>
  </si>
  <si>
    <t>PJ or Peronist-dominated coalition wins the most votes in the election for the provincial unicameral or lower-house legislative chamber: yes=1, no=0, 1987</t>
  </si>
  <si>
    <t>PJ or Peronist-dominated coalition wins the most votes in the election for the provincial unicameral or lower-house legislative chamber: yes=1, no=0, 1989</t>
  </si>
  <si>
    <t>PJ or Peronist-dominated coalition wins the most votes in the election for the provincial unicameral or lower-house legislative chamber: yes=1, no=0, 1991</t>
  </si>
  <si>
    <t>PJ or Peronist-dominated coalition wins the most votes in the election for the provincial unicameral or lower-house legislative chamber: yes=1, no=0, 1993</t>
  </si>
  <si>
    <t>PJ or Peronist-dominated coalition wins the most votes in the election for the provincial unicameral or lower-house legislative chamber: yes=1, no=0, 1995</t>
  </si>
  <si>
    <t>PJ or Peronist-dominated coalition wins the most votes in the election for the provincial unicameral or lower-house legislative chamber: yes=1, no=0, 1997</t>
  </si>
  <si>
    <t>PJ or Peronist-dominated coalition wins the most votes in the election for the provincial unicameral or lower-house legislative chamber: yes=1, no=0, 1999</t>
  </si>
  <si>
    <t>PJ or Peronist-dominated coalition wins the most votes in the election for the provincial unicameral or lower-house legislative chamber: yes=1, no=0, 2001</t>
  </si>
  <si>
    <t>PJ or Peronist-dominated coalition wins the most votes in the election for the provincial unicameral or lower-house legislative chamber: yes=1, no=0, 2003</t>
  </si>
  <si>
    <t>PJ or Peronist-dominated coalition wins the most votes in the election for the provincial unicameral or lower-house legislative chamber: yes=1, no=0, 2005</t>
  </si>
  <si>
    <t>PJ or Peronist-dominated coalition wins the most votes in the election for the provincial unicameral or lower-house legislative chamber: yes=1, no=0, 2007</t>
  </si>
  <si>
    <t>ProvDepsPctFemale2ºSources</t>
  </si>
  <si>
    <t>ProvDepsPctFemaleAllSource</t>
  </si>
  <si>
    <t>NatDepsPctFemale</t>
  </si>
  <si>
    <t>Calculated from the provincial share of total national GDP as given in CEPAL Buenos Aires [Comisión Económica para América Latina y el Caribe. Oficina de la CEPAL en Buenos Aires] (2009). Dinamica Productiva Provincial: Participación provincial en el total nacional del producto bruto geográfico a precios corrientes (en porcentajes). Accessed December 24, 2009, at http://www.eclac.org/argentina/noticias/paginas/4/10424/PartPcial.xls</t>
  </si>
  <si>
    <t>Illiteracy rate, 2010</t>
  </si>
  <si>
    <t>ILLI2010</t>
  </si>
  <si>
    <t>Argentina. Ministerio de Economía. Dirección Nacional de Relaciones Económicas con las Provincias. Sistema de Indicadores de Desarrollo Provincial (SIDEP). "Tasa de Analfabetismo (en porcentaje). Año 2010. Accessed October 14, 2014, at http://www2.mecon.gov.ar/hacienda/dinrep/sidep/indice.php?eje=3&amp;indice=2</t>
  </si>
  <si>
    <t>1970</t>
  </si>
  <si>
    <t>James W. McGuire, Department of Governent, Wesleyan University.</t>
  </si>
  <si>
    <t>Database of Social, Economic, and Political Indicators of Argentine Provinces</t>
  </si>
  <si>
    <t>Calvo data</t>
  </si>
  <si>
    <t>Unpublished data compiled from the Encuesta Permanente de Hogares (original surveys) by Ernesto Calvo and colleagues and kindly sent by Professor Calvo as an email attachment on 24 January 2015.</t>
  </si>
  <si>
    <t>The original compilation is disaggregated by quarter (trimeste) and by metropolitan area (aglomerado). 2003 figure is the average of 3rd &amp; 4th quarters only. Buenos Aires data exclude San Nicolás - Villa Constitución, Chubut data exclude Rawson - Trelew, and Rio Negro data (from Viedma - Carmen de Patagones metropolitan area) are unavailable.</t>
  </si>
  <si>
    <t>The original compilation is disaggregated by quarter (trimeste) and by metropolitan area (aglomerado). 2004 figure is the average of four quarterly figures. Buenos Aires data exclude San Nicolás - Villa Constitución, Chubut data exclude Rawson - Trelew, and Rio Negro data (from Viedma - Carmen de Patagones metropolitan area) are unavailable.</t>
  </si>
  <si>
    <t>The original compilation is disaggregated by quarter (trimeste) and by metropolitan area (aglomerado). 2005 figure is the average of four quarterly figures. Buenos Aires data exclude San Nicolás - Villa Constitución, Chubut data exclude Rawson - Trelew, and Rio Negro data (from Viedma - Carmen de Patagones metropolitan area) are unavailable.</t>
  </si>
  <si>
    <t>The original compilation is disaggregated by quarter (trimeste) and by metropolitan area (aglomerado). 2006 figure is the average of four quarterly figures.</t>
  </si>
  <si>
    <t>The original compilation is disaggregated by quarter (trimeste) and by metropolitan area (aglomerado). 2007 figure is the average of only three quarterly figures (1st, 2nd, and 4th quarters). Buenos Aires data exclude San Nicolás - Villa Constitución, Chubut data exclude Rawson - Trelew, and Rio Negro data (from Viedma - Carmen de Patagones metropolitan area) are unavailable.</t>
  </si>
  <si>
    <t>The original compilation is disaggregated by quarter (trimeste) and by metropolitan area (aglomerado). 2008 figure is the average of four quarterly figures.</t>
  </si>
  <si>
    <t>The original compilation is disaggregated by quarter (trimeste) and by metropolitan area (aglomerado). 2009 figure is the average of four quarterly figures.</t>
  </si>
  <si>
    <t>The original compilation is disaggregated by quarter (trimeste) and by metropolitan area (aglomerado). 2010 figure is the average of four quarterly figures.</t>
  </si>
  <si>
    <t>The original compilation is disaggregated by quarter (trimeste) and by metropolitan area (aglomerado). 2011 figure is the average of four quarterly figures.</t>
  </si>
  <si>
    <t>The Gini for "Buenos Aires" is the population-weighted average of the five metropolitan areas in the province for which data are available. The Ginis for Chubut, Córdoba, Entre Ríos, and Santa Fé are the population-weighted averages of the two metropolitan areas in each province for which data are available. Population weightings are for the third quarter 2009 as given in INDEC, Encuesta Permanente de Hogares: Mercado de Trabajo, Principales Indicadores, Resultados del tercer trimestre de 2009, Buenos Aires, 14 December 2009. Accessed June 25, 2014, at http://www.ec.gba.gov.ar/estadistica/social/eph/2009/EPHcont_3trim09.pdf</t>
  </si>
  <si>
    <t>Notes2</t>
  </si>
  <si>
    <t>The Gini for "Buenos Aires" is the population-weighted average of the five metropolitan areas in the province for which data are available. The Ginis for Córdoba, Entre Ríos, and Santa Fé are the population-weighted averages of the two metropolitan areas in each province for which data are available. Population weightings are for the third quarter 2009 as given in INDEC, Encuesta Permanente de Hogares: Mercado de Trabajo, Principales Indicadores, Resultados del tercer trimestre de 2009, Buenos Aires, 14 December 2009. Accessed June 25, 2014, at http://www.ec.gba.gov.ar/estadistica/social/eph/2009/EPHcont_3trim09.pdf</t>
  </si>
  <si>
    <t>The Gini for "Buenos Aires" is the population-weighted average of the four metropolitan areas in the province for which data are available. The Ginis for Córdoba, Entre Ríos, and Santa Fé are the population-weighted averages of the two metropolitan areas in each province for which data are available. Population weightings are for the third quarter 2009 as given in INDEC, Encuesta Permanente de Hogares: Mercado de Trabajo, Principales Indicadores, Resultados del tercer trimestre de 2009, Buenos Aires, 14 December 2009. Accessed June 25, 2014, at http://www.ec.gba.gov.ar/estadistica/social/eph/2009/EPHcont_3trim09.pdf</t>
  </si>
  <si>
    <t>Gini index of income inequality, Calvo unpublished data, 2003</t>
  </si>
  <si>
    <t>Gini index of income inequality, Calvo unpublished data, 2004</t>
  </si>
  <si>
    <t>Gini index of income inequality, Calvo unpublished data, 2005</t>
  </si>
  <si>
    <t>Gini index of income inequality, Calvo unpublished data, 2006</t>
  </si>
  <si>
    <t>Gini index of income inequality, Calvo unpublished data, 2007</t>
  </si>
  <si>
    <t>Gini index of income inequality, Calvo unpublished data, 2008</t>
  </si>
  <si>
    <t>Gini index of income inequality, Calvo unpublished data, 2009</t>
  </si>
  <si>
    <t>Gini index of income inequality, Calvo unpublished data, 2010</t>
  </si>
  <si>
    <t>Gini index of income inequality, Calvo unpublished data, 2011</t>
  </si>
  <si>
    <t>CONES [Consejo Económico y Social de la Provincia del Chaco] (2007). Bases de Datos Económicos y Sociales. Datos del Sector Salud. Hoja 7. Accessed 24 December 2009 at http://www.coneschaco.org.ar/downloads/8-%20Datos%20Salud.xls</t>
  </si>
  <si>
    <t>CONES [Consejo Económico y Social de la Provincia del Chaco] (2007). Bases de Datos Económicos y Sociales. Datos del Sector Salud. Hoja 8. Accessed 24 December 2009 at http://www.coneschaco.org.ar/downloads/8-%20Datos%20Salud.xls</t>
  </si>
  <si>
    <t>PUBSPHCHT91</t>
  </si>
  <si>
    <t>PUBSPHCHT92</t>
  </si>
  <si>
    <t>PUBSPHCHT93</t>
  </si>
  <si>
    <t>PUBSPHCHT94</t>
  </si>
  <si>
    <t>PUBSPHCHT95</t>
  </si>
  <si>
    <t>PUBSPHCHT96</t>
  </si>
  <si>
    <t>PUBSPHCHT97</t>
  </si>
  <si>
    <t>PUBSPHCHT98</t>
  </si>
  <si>
    <t>PUBSPHCHT99</t>
  </si>
  <si>
    <t>PUBSPHCHT00</t>
  </si>
  <si>
    <t>PUBSPHCHT01</t>
  </si>
  <si>
    <t>PUBSPHCHT02</t>
  </si>
  <si>
    <t>PUBSPHCHT03</t>
  </si>
  <si>
    <t>Provincial public spending on health per capita in constant 2004 pesos, CONES, 1991</t>
  </si>
  <si>
    <t>Provincial public spending on health per capita in constant 2004 pesos, CONES, 1992</t>
  </si>
  <si>
    <t>Provincial public spending on health per capita in constant 2004 pesos, CONES, 1993</t>
  </si>
  <si>
    <t>Provincial public spending on health per capita in constant 2004 pesos, CONES, 1994</t>
  </si>
  <si>
    <t>Provincial public spending on health per capita in constant 2004 pesos, CONES, 1995</t>
  </si>
  <si>
    <t>Provincial public spending on health per capita in constant 2004 pesos, CONES, 1996</t>
  </si>
  <si>
    <t>Provincial public spending on health per capita in constant 2004 pesos, CONES, 1997</t>
  </si>
  <si>
    <t>Provincial public spending on health per capita in constant 2004 pesos, CONES, 1998</t>
  </si>
  <si>
    <t>Provincial public spending on health per capita in constant 2004 pesos, CONES, 1999</t>
  </si>
  <si>
    <t>Provincial public spending on health per capita in constant 2004 pesos, CONES, 2000</t>
  </si>
  <si>
    <t>Provincial public spending on health per capita in constant 2004 pesos, CONES, 2001</t>
  </si>
  <si>
    <t>Provincial public spending on health per capita in constant 2004 pesos, CONES, 2002</t>
  </si>
  <si>
    <t>Provincial public spending on health per capita in constant 2004 pesos, CONES, 2003</t>
  </si>
  <si>
    <t>Provincial public spending on health per capita in constant 2004 pesos, CONES, 2004</t>
  </si>
  <si>
    <t>pub spend p/capita</t>
  </si>
  <si>
    <t>CIAP 1</t>
  </si>
  <si>
    <t>CIAP 2</t>
  </si>
  <si>
    <t>CIAP 3</t>
  </si>
  <si>
    <t>Provincial public spending on health care as a percentage of total provincial public spending, 1993, Ministerio de Economía</t>
  </si>
  <si>
    <t>Provincial public spending on health care as a percentage of total provincial public spending, 1994, Ministerio de Economía</t>
  </si>
  <si>
    <t>Provincial public spending on health care as a percentage of total provincial public spending, 1995, Ministerio de Economía</t>
  </si>
  <si>
    <t>Provincial public spending on health care as a percentage of total provincial public spending, 1996, Ministerio de Economía</t>
  </si>
  <si>
    <t>Provincial public spending on health care as a percentage of total provincial public spending, 1997, Ministerio de Economía</t>
  </si>
  <si>
    <t>Provincial public spending on health care as a percentage of total provincial public spending, 1998, Ministerio de Economía</t>
  </si>
  <si>
    <t>Provincial public spending on health care as a percentage of total provincial public spending, 1999, Ministerio de Economía</t>
  </si>
  <si>
    <t>Provincial public spending on health care as a percentage of total provincial public spending, 2000, Ministerio de Economía</t>
  </si>
  <si>
    <t>Provincial public spending on health care as a percentage of total provincial public spending, 2001, Ministerio de Economía</t>
  </si>
  <si>
    <t>Provincial public spending on health care as a percentage of total provincial public spending, 2002, Ministerio de Economía</t>
  </si>
  <si>
    <t>Provincial public spending on health care as a percentage of total provincial public spending, 2003, Ministerio de Economía</t>
  </si>
  <si>
    <t>Provincial public spending on health care as a percentage of total provincial public spending, 2004, Ministerio de Economía</t>
  </si>
  <si>
    <t>Provincial public spending on health care as a percentage of total provincial public spending, 2005, Ministerio de Economía</t>
  </si>
  <si>
    <t>Provincial public spending on health care as a percentage of total provincial public spending, 2006, Ministerio de Economía</t>
  </si>
  <si>
    <t>Provincial public spending on health care as a percentage of total provincial public spending, 2007, Ministerio de Economía</t>
  </si>
  <si>
    <t>Provincial public spending on health care as a percentage of total provincial public spending, 2008, Ministerio de Economía</t>
  </si>
  <si>
    <t>Provincial public spending on health care as a percentage of total provincial public spending, 2009, Ministerio de Economía</t>
  </si>
  <si>
    <t>Argentina. Ministerio del Interior y Transporte. Secretaría de Provincias. "Información de Provincias." Accessed September 20, 2013, at http://www.minInterior.gov.ar/provincias/provincias.php?idName=provincias&amp;idNameS#mapasituacion/buenos_aires.php</t>
  </si>
  <si>
    <t>Percentage of the provincial budget devoted to health care, Ministerio del Interior, 1991</t>
  </si>
  <si>
    <t>Percentage of the provincial budget devoted to health care, Ministerio del Interior, 1992</t>
  </si>
  <si>
    <t>Percentage of the provincial budget devoted to health care, Ministerio del Interior, 1993</t>
  </si>
  <si>
    <t>Percentage of the provincial budget devoted to health care, Ministerio del Interior, 1994</t>
  </si>
  <si>
    <t>Percentage of the provincial budget devoted to health care, Ministerio del Interior 1995</t>
  </si>
  <si>
    <t>Percentage of the provincial budget devoted to health care, Ministerio del Interior, 1996</t>
  </si>
  <si>
    <t>Percentage of the provincial budget devoted to health care, Ministerio del Interior, 1997</t>
  </si>
  <si>
    <t>Percentage of the provincial budget devoted to health care, Ministerio del Interior, 1998</t>
  </si>
  <si>
    <t>Percentage of the provincial budget devoted to health care, Ministerio del Interior, 1999</t>
  </si>
  <si>
    <t>Percentage of the provincial budget devoted to health care, Ministerio del Interior, 2000</t>
  </si>
  <si>
    <t>Percentage of the provincial budget devoted to health care, Ministerio del Interior, 2001</t>
  </si>
  <si>
    <t>Percentage of the provincial budget devoted to health care, Ministerio del Interior, 2002</t>
  </si>
  <si>
    <t>Percentage of the provincial budget devoted to health care, Ministerio del Interior, 2003</t>
  </si>
  <si>
    <t>Percentage of the provincial budget devoted to health care, Ministerio del Interior, 2004</t>
  </si>
  <si>
    <t>Percentage of the provincial budget devoted to health care, Ministerio del Interior, 2005</t>
  </si>
  <si>
    <t>Percentage of the provincial budget devoted to health care, Ministerio del Interior, 2006</t>
  </si>
  <si>
    <t>Percentage of the provincial budget devoted to health care, Ministerio del Interior, 2007</t>
  </si>
  <si>
    <t>Percentage of the provincial budget devoted to health care, Ministerio del Interior, 2008</t>
  </si>
  <si>
    <t>Percentage of the provincial budget devoted to health care, Ministerio del Interior, 2009</t>
  </si>
  <si>
    <t>PUBSPHCI3_08</t>
  </si>
  <si>
    <t>PUBSPHCI3_09</t>
  </si>
  <si>
    <t>PUBSPHCI3_10</t>
  </si>
  <si>
    <t>PUBSPHCI3_11</t>
  </si>
  <si>
    <t>PUBSPHCI1_71</t>
  </si>
  <si>
    <t>PUBSPHCI1_72</t>
  </si>
  <si>
    <t>PUBSPHCI1_73</t>
  </si>
  <si>
    <t>PUBSPHCI1_74</t>
  </si>
  <si>
    <t>PUBSPHCI1_75</t>
  </si>
  <si>
    <t>PUBSPHCI1_76</t>
  </si>
  <si>
    <t>PUBSPHCI1_77</t>
  </si>
  <si>
    <t>PUBSPHCI1_78</t>
  </si>
  <si>
    <t>PUBSPHCI1_79</t>
  </si>
  <si>
    <t>PUBSPHCI1_80</t>
  </si>
  <si>
    <t>PUBSPHCI1_81</t>
  </si>
  <si>
    <t>PUBSPHCI1_82</t>
  </si>
  <si>
    <t>PUBSPHCI1_83</t>
  </si>
  <si>
    <t>PUBSPHCI1_84</t>
  </si>
  <si>
    <t>PUBSPHCI1_85</t>
  </si>
  <si>
    <t>PUBSPHCI1_86</t>
  </si>
  <si>
    <t>PUBSPHCI1_87</t>
  </si>
  <si>
    <t>PUBSPHCI1_88</t>
  </si>
  <si>
    <t>PUBSPHCI1_89</t>
  </si>
  <si>
    <t>PUBSPHCI1_90</t>
  </si>
  <si>
    <t>PUBSPHCI1_91</t>
  </si>
  <si>
    <t>PUBSPHCI1_92</t>
  </si>
  <si>
    <t>PUBSPHCI2_98</t>
  </si>
  <si>
    <t>PUBSPHCI2_99</t>
  </si>
  <si>
    <t>PUBSPHCI2_00</t>
  </si>
  <si>
    <t>PUBSPHCI2_01</t>
  </si>
  <si>
    <t>PUBSPHCI2_02</t>
  </si>
  <si>
    <t>PUBSPHCI2_03</t>
  </si>
  <si>
    <t>PUBSPHCI2_04</t>
  </si>
  <si>
    <t>PUBSPHCI2_05</t>
  </si>
  <si>
    <t>PUBSPHCI2_06</t>
  </si>
  <si>
    <t>PUBSPHCI2_07</t>
  </si>
  <si>
    <t>PUBSPHCI1_70</t>
  </si>
  <si>
    <t>PUBSPHCI2_91</t>
  </si>
  <si>
    <t>PUBSPHCI2_92</t>
  </si>
  <si>
    <t>PUBSPHCI2_93</t>
  </si>
  <si>
    <t>PUBSPHCI2_94</t>
  </si>
  <si>
    <t>PUBSPHCI2_95</t>
  </si>
  <si>
    <t>PUBSPHCI2_96</t>
  </si>
  <si>
    <t>PUBSPHCI2_97</t>
  </si>
  <si>
    <t>Provincial public spending on health care as a percentage of total provincial public spending, CIAP Series 1, 1970</t>
  </si>
  <si>
    <t>Provincial public spending on health care as a percentage of total provincial public spending, CIAP Series 1, 1971</t>
  </si>
  <si>
    <t>Provincial public spending on health care as a percentage of total provincial public spending, CIAP Series 1, 1972</t>
  </si>
  <si>
    <t>Provincial public spending on health care as a percentage of total provincial public spending, CIAP Series 1, 1973</t>
  </si>
  <si>
    <t>Provincial public spending on health care as a percentage of total provincial public spending, CIAP Series 1, 1974</t>
  </si>
  <si>
    <t>Provincial public spending on health care as a percentage of total provincial public spending, CIAP Series 1, 1975</t>
  </si>
  <si>
    <t>Provincial public spending on health care as a percentage of total provincial public spending, CIAP Series 1, 1976</t>
  </si>
  <si>
    <t>Provincial public spending on health care as a percentage of total provincial public spending, CIAP Series 1, 1977</t>
  </si>
  <si>
    <t>Provincial public spending on health care as a percentage of total provincial public spending, CIAP Series 1, 1978</t>
  </si>
  <si>
    <t>Provincial public spending on health care as a percentage of total provincial public spending, CIAP Series 1, 1979</t>
  </si>
  <si>
    <t>Provincial public spending on health care as a percentage of total provincial public spending, CIAP Series 1, 1980</t>
  </si>
  <si>
    <t>Provincial public spending on health care as a percentage of total provincial public spending, CIAP Series 1, 1981</t>
  </si>
  <si>
    <t>Provincial public spending on health care as a percentage of total provincial public spending, CIAP Series 1, 1982</t>
  </si>
  <si>
    <t>Provincial public spending on health care as a percentage of total provincial public spending, CIAP Series 1, 1983</t>
  </si>
  <si>
    <t>Provincial public spending on health care as a percentage of total provincial public spending, CIAP Series 1, 1984</t>
  </si>
  <si>
    <t>Provincial public spending on health care as a percentage of total provincial public spending, CIAP Series 1, 1985</t>
  </si>
  <si>
    <t>Provincial public spending on health care as a percentage of total provincial public spending, CIAP Series 1, 1986</t>
  </si>
  <si>
    <t>Provincial public spending on health care as a percentage of total provincial public spending, CIAP Series 1, 1987</t>
  </si>
  <si>
    <t>Provincial public spending on health care as a percentage of total provincial public spending, CIAP Series 1, 1988</t>
  </si>
  <si>
    <t>Provincial public spending on health care as a percentage of total provincial public spending, CIAP Series 1, 1989</t>
  </si>
  <si>
    <t>Provincial public spending on health care as a percentage of total provincial public spending, CIAP Series 1, 1990</t>
  </si>
  <si>
    <t>Provincial public spending on health care as a percentage of total provincial public spending, CIAP Series 1, 1991</t>
  </si>
  <si>
    <t>Provincial public spending on health care as a percentage of total provincial public spending, CIAP Series 1, 1992</t>
  </si>
  <si>
    <t>1992</t>
  </si>
  <si>
    <t>Provincial public spending on health care as a percentage of total provincial public spending, CIAP Series 2, 1991</t>
  </si>
  <si>
    <t>Provincial public spending on health care as a percentage of total provincial public spending, CIAP Series 2, 1992</t>
  </si>
  <si>
    <t>Provincial public spending on health care as a percentage of total provincial public spending, CIAP Series 2, 1993</t>
  </si>
  <si>
    <t>Provincial public spending on health care as a percentage of total provincial public spending, CIAP Series 2, 1994</t>
  </si>
  <si>
    <t>Provincial public spending on health care as a percentage of total provincial public spending, CIAP Series 2, 1995</t>
  </si>
  <si>
    <t>Provincial public spending on health care as a percentage of total provincial public spending, CIAP Series 2, 1996</t>
  </si>
  <si>
    <t>Provincial public spending on health care as a percentage of total provincial public spending, CIAP Series 2, 1997</t>
  </si>
  <si>
    <t>Provincial public spending on health care as a percentage of total provincial public spending, CIAP Series 2, 1998</t>
  </si>
  <si>
    <t>Provincial public spending on health care as a percentage of total provincial public spending, CIAP Series 2, 1999</t>
  </si>
  <si>
    <t>Provincial public spending on health care as a percentage of total provincial public spending, CIAP Series 2, 2000</t>
  </si>
  <si>
    <t>Provincial public spending on health care as a percentage of total provincial public spending, CIAP Series 2, 2001</t>
  </si>
  <si>
    <t>Provincial public spending on health care as a percentage of total provincial public spending, CIAP Series 2, 2002</t>
  </si>
  <si>
    <t>Provincial public spending on health care as a percentage of total provincial public spending, CIAP Series 2, 2003</t>
  </si>
  <si>
    <t>Provincial public spending on health care as a percentage of total provincial public spending, CIAP Series 2, 2004</t>
  </si>
  <si>
    <t>Provincial public spending on health care as a percentage of total provincial public spending, CIAP Series 2, 2005</t>
  </si>
  <si>
    <t>Provincial public spending on health care as a percentage of total provincial public spending, CIAP Series 2, 2006</t>
  </si>
  <si>
    <t>Provincial public spending on health care as a percentage of total provincial public spending, CIAP Series 2, 2007</t>
  </si>
  <si>
    <t>Provincial public spending on health care as a percentage of total provincial public spending, CIAP Series 3, 2008</t>
  </si>
  <si>
    <t>Provincial public spending on health care as a percentage of total provincial public spending, CIAP Series 3, 2009</t>
  </si>
  <si>
    <t>Provincial public spending on health care as a percentage of total provincial public spending, CIAP Series 3, 2010</t>
  </si>
  <si>
    <t>Provincial public spending on health care as a percentage of total provincial public spending, CIAP Series 3, 2011</t>
  </si>
  <si>
    <t>PUBSPHME_93</t>
  </si>
  <si>
    <t>PUBSPHME_94</t>
  </si>
  <si>
    <t>PUBSPHME_95</t>
  </si>
  <si>
    <t>PUBSPHME_96</t>
  </si>
  <si>
    <t>PUBSPHME_97</t>
  </si>
  <si>
    <t>PUBSPHME_98</t>
  </si>
  <si>
    <t>PUBSPHME_99</t>
  </si>
  <si>
    <t>PUBSPHME_00</t>
  </si>
  <si>
    <t>PUBSPHME_01</t>
  </si>
  <si>
    <t>PUBSPHME_02</t>
  </si>
  <si>
    <t>PUBSPHME_03</t>
  </si>
  <si>
    <t>PUBSPHME_04</t>
  </si>
  <si>
    <t>PUBSPHME_05</t>
  </si>
  <si>
    <t>PUBSPHME_06</t>
  </si>
  <si>
    <t>PUBSPHME_07</t>
  </si>
  <si>
    <t>PUBSPHME_08</t>
  </si>
  <si>
    <t>PUBSPHME_09</t>
  </si>
  <si>
    <r>
      <t xml:space="preserve">Calculated from Argentina. Ministerio de Salud. Dirección de Estadísticas e Información de Salud (2012). </t>
    </r>
    <r>
      <rPr>
        <u/>
        <sz val="9"/>
        <rFont val="Times New Roman"/>
        <family val="1"/>
      </rPr>
      <t>Estadísticas vitales. Información basica - 2012</t>
    </r>
    <r>
      <rPr>
        <sz val="9"/>
        <rFont val="Times New Roman"/>
        <family val="1"/>
      </rPr>
      <t>. Serie 5 No. 56. Diciembre de 2013. Buenos Aires: Ministerio de Salud. Tabla 17, Nacidos vivos registrados según local de ocurrencia, Año 2012 (p. 22).</t>
    </r>
  </si>
  <si>
    <t>Births in medical facilities as a share of all births, 2013</t>
  </si>
  <si>
    <t>BIRFAC2013</t>
  </si>
  <si>
    <r>
      <t xml:space="preserve">Calculated from Argentina. Ministerio de Salud. Dirección de Estadísticas e Información de Salud (2013). </t>
    </r>
    <r>
      <rPr>
        <u/>
        <sz val="9"/>
        <rFont val="Times New Roman"/>
        <family val="1"/>
      </rPr>
      <t>Estadísticas vitales. Información basica - 2012</t>
    </r>
    <r>
      <rPr>
        <sz val="9"/>
        <rFont val="Times New Roman"/>
        <family val="1"/>
      </rPr>
      <t>. Serie 5 No. 56. Diciembre de 2013. Buenos Aires: Ministerio de Salud. Tabla 17, Nacidos vivos registrados según local de ocurrencia, Año 2012 (p. 22).</t>
    </r>
  </si>
  <si>
    <r>
      <t xml:space="preserve">Calculated from Argentina. Ministerio de Salud. Dirección de Estadísticas e Información de Salud (2014). </t>
    </r>
    <r>
      <rPr>
        <u/>
        <sz val="9"/>
        <rFont val="Times New Roman"/>
        <family val="1"/>
      </rPr>
      <t>Estadísticas vitales. Información basica - 2013</t>
    </r>
    <r>
      <rPr>
        <sz val="9"/>
        <rFont val="Times New Roman"/>
        <family val="1"/>
      </rPr>
      <t>. Serie 5 No. 57. Diciembre de 2014. Buenos Aires: Ministerio de Salud. Tabla 17, Nacidos vivos registrados según local de ocurrencia, Año 2013 (p. 22).</t>
    </r>
  </si>
  <si>
    <r>
      <t xml:space="preserve">Calculated from Argentina. Ministerio de Salud. Dirección de Estadísticas e Información de Salud (2013). </t>
    </r>
    <r>
      <rPr>
        <u/>
        <sz val="9"/>
        <rFont val="Times New Roman"/>
        <family val="1"/>
      </rPr>
      <t>Estadísticas vitales. Información basica - 2013</t>
    </r>
    <r>
      <rPr>
        <sz val="9"/>
        <rFont val="Times New Roman"/>
        <family val="1"/>
      </rPr>
      <t>. Serie 5 No. 57. Diciembre de 2013. Buenos Aires: Ministerio de Salud. Tabla 17, Nacidos vivos registrados según local de ocurrencia, Año 2013 (p. 22).</t>
    </r>
  </si>
  <si>
    <t>Births outside medical facilities as a share of all births, 2013</t>
  </si>
  <si>
    <t>BIROUT2013</t>
  </si>
  <si>
    <t>Births in private homes as a share of all births, 2013</t>
  </si>
  <si>
    <t>BIRHOM2013</t>
  </si>
  <si>
    <t>Infant (0-1) deaths per 1000 live births, 2013, according to the province in which the mother usually resides.</t>
  </si>
  <si>
    <t>IMR13</t>
  </si>
  <si>
    <t>Argentina. Ministerio de Salud (2014). Estadísticas vitales: Información basica - Año 2013. Dirección de Estadísticas e Información de Salud. Serie 5, Número 57, p. 80. Diciembre. Buenos Aires: Ministerio de Salud. Accessed January 27, 2015, at http://www.deis.gov.ar/Publicaciones/Archivos/Serie5Nro57.pdf</t>
  </si>
  <si>
    <t>Calculated from Argentina. Ministerio de Salud (2014). Estadísticas vitales: Información basica - Año 2013. Dirección de Estadísticas e Información de Salud. Serie 5, Número 57, p. 92. Diciembre. Buenos Aires: Ministerio de Salud. Accessed January 27, 2014, at http://www.deis.gov.ar/publicaciones/archivos/Serie5Nro57.pdf</t>
  </si>
  <si>
    <t>MMR13</t>
  </si>
  <si>
    <t>From Argentina. Ministerio de Salud 2014: 92: "Después de la difusión de las Estadísticas Vitales 2011, la provincia de Misiones envió una nueva base de datos de nacidos vivos registrados en el año 2011, que determina un menor valor para la tasa de mortalidad materna (7,1 o/ooo)."</t>
  </si>
  <si>
    <t>Maternal deaths per 100,000 live births by year of registry and province in which the mother normally resides, 1983</t>
  </si>
  <si>
    <t>Maternal deaths per 100,000 live births by year of registry and province in which the mother normally resides, 1984</t>
  </si>
  <si>
    <t>Maternal deaths per 100,000 live births by year of registry and province in which the mother normally resides, 1985</t>
  </si>
  <si>
    <t>Maternal deaths per 100,000 live births by year of registry and province in which the mother normally resides, 1986</t>
  </si>
  <si>
    <t>Maternal deaths per 100,000 live births by year of registry and province in which the mother normally resides, 1987</t>
  </si>
  <si>
    <t>Maternal deaths per 100,000 live births by year of registry and province in which the mother normally resides, 1988</t>
  </si>
  <si>
    <t>Maternal deaths per 100,000 live births by year of registry and province in which the mother normally resides, 1989</t>
  </si>
  <si>
    <t>Maternal deaths per 100,000 live births by year of registry and province in which the mother normally resides, 1990</t>
  </si>
  <si>
    <t>Maternal deaths per 100,000 live births by year of registry and province in which the mother normally resides, 1991</t>
  </si>
  <si>
    <t>Maternal deaths per 100,000 live births by year of registry and province in which the mother normally resides, 1992</t>
  </si>
  <si>
    <t>Maternal deaths per 100,000 live births by year of registry and province in which the mother normally resides, 1993</t>
  </si>
  <si>
    <t>Maternal deaths per 100,000 live births by year of registry and province in which the mother normally resides, 1994</t>
  </si>
  <si>
    <t>Maternal deaths per 100,000 live births by year of registry and province in which the mother normally resides, 1995</t>
  </si>
  <si>
    <t>Maternal deaths per 100,000 live births by year of registry and province in which the mother normally resides, 1996</t>
  </si>
  <si>
    <t>Maternal deaths per 100,000 live births by year of registry and province in which the mother normally resides, 1997</t>
  </si>
  <si>
    <t>Maternal deaths per 100,000 live births by year of registry and province in which the mother normally resides, 1998</t>
  </si>
  <si>
    <t>Maternal deaths per 100,000 live births by year of registry and province in which the mother normally resides, 1999</t>
  </si>
  <si>
    <t>Maternal deaths per 100,000 live births by year of registry and province in which the mother normally resides, 2000</t>
  </si>
  <si>
    <t>Maternal deaths per 100,000 live births by year of registry and province in which the mother normally resides, 2001</t>
  </si>
  <si>
    <t>Maternal deaths per 100,000 live births by year of registry and province in which the mother normally resides, 2002</t>
  </si>
  <si>
    <t>Maternal deaths per 100,000 live births by year of registry and province in which the mother normally resides, 2002 Source comparison</t>
  </si>
  <si>
    <t>Maternal deaths per 100,000 live births by year of registry and province in which the mother normally resides, 2003</t>
  </si>
  <si>
    <t>Maternal deaths per 100,000 live births by year of registry and province in which the mother normally resides, 2004</t>
  </si>
  <si>
    <t>Maternal deaths per 100,000 live births by year of registry and province in which the mother normally resides, 2005</t>
  </si>
  <si>
    <t>Maternal deaths per 100,000 live births by year of registry and province in which the mother normally resides, 2006</t>
  </si>
  <si>
    <t>Maternal deaths per 100,000 live births by year of registry and province in which the mother normally resides, 2007</t>
  </si>
  <si>
    <t>Maternal deaths per 100,000 live births by year of registry and province in which the mother normally resides, 2008</t>
  </si>
  <si>
    <t>Maternal deaths per 100,000 live births by year of registry and province in which the mother normally resides, 2009</t>
  </si>
  <si>
    <t>Maternal deaths per 100,000 live births by year of registry and province in which the mother normally resides, 2010</t>
  </si>
  <si>
    <t>Maternal deaths per 100,000 live births by year of registry and province in which the mother normally resides, 2011</t>
  </si>
  <si>
    <t>Maternal deaths per 100,000 live births by year of registry and province in which the mother normally resides, 2012</t>
  </si>
  <si>
    <t>Maternal deaths per 100,000 live births by year of registry and province in which the mother normally resides, 2013</t>
  </si>
  <si>
    <t>Argentina. Ministerio de Economía y Finanzas Públicas (2014). "Evolución de la población que habita hogares por debajo de la línea de pobreza - EPH." Table 22, LP-Pers. AccessedJanuary 27, 2015, at www.mecon.gov.ar/download/infoeco/apendice3a.xls</t>
  </si>
  <si>
    <t>In provinces with &gt;1 metro area surveyed, the poverty lines for each survey are weighted according to each constituent metro area population in the third quarter 2009 as given in INDEC, Encuesta Permanente de Hogares: Mercado de Trabajo, Principales Indicadores, Resultados del tercer trimestre de 2009, Buenos Aires, 14 December 2009. Accessed June 25, 2014, at http://www.ec.gba.gov.ar/estadistica/social/eph/2009/EPHcont_3trim09.pdf</t>
  </si>
  <si>
    <t>Turnout in provincial deputy election (votes divided by eligible voters), 2013</t>
  </si>
  <si>
    <t>TURN2013</t>
  </si>
  <si>
    <t>Tow, Andy. Atlas Electoral de Andy Tow. Elecciones en la Argentina desde 1983. Accessed January 28, 2015, at http://www.towsa.com/andy/totalpais/index.html</t>
  </si>
  <si>
    <t>Figure for Buenos Aires is the average turnout in the four sections that voted (cap, 2, 3, 6), weighted by the number of votes in each section. Section 3 alone had 71% of the votes. Figure for La Rioja is turnout for election for national deputies (no turnout given for provincial deputy election; no other provincial elections). Figure for Santiago del Estero is turnout for election for governor and vice-governor  (no turnout given for provincial deputy election).</t>
  </si>
  <si>
    <t>Tow 2015</t>
  </si>
  <si>
    <t>Tow, Andy. Atlas Electoral de Andy Tow. Elecciones en la Argentina desde 1983. Accessed January 29, 2015, at http://www.towsa.com/andy/totalpais/index.html</t>
  </si>
  <si>
    <t>% of votes in provincial deputy election going to the most-voted party or coalition, 2013</t>
  </si>
  <si>
    <t>VOSH2013</t>
  </si>
  <si>
    <t>% of the seats in provincial deputy election going to the most-voted party or coalition, 2011</t>
  </si>
  <si>
    <t>% of the seats in provincial deputy election going to the most-voted party or coalition, 2013</t>
  </si>
  <si>
    <t>SESH2009</t>
  </si>
  <si>
    <t>SESH2011</t>
  </si>
  <si>
    <t>SESH2013</t>
  </si>
  <si>
    <t>Santiago del Estero and Tucumán data collected from the Andy Tow source on September 21, 2013. Could not be calculated January 29, 2015</t>
  </si>
  <si>
    <t>Democracy</t>
  </si>
  <si>
    <t>Calculated from Tow, Andy. Atlas Electoral de Andy Tow. Elecciones en la Argentina desde 1983. Accessed January 2010 at http://www.towsa.com/andy/totalpais/index.html</t>
  </si>
  <si>
    <t xml:space="preserve"> Santiago del Estero data for 2007 collected January 2010 at http://www.towsa.com/andy/totalpais/index.html</t>
  </si>
  <si>
    <t>Calculated from Tow, Andy. Atlas Electoral de Andy Tow. Elecciones en la Argentina desde 1983. Accessed January 29, 2015, at http://www.towsa.com/andy/totalpais/index.html</t>
  </si>
  <si>
    <t>VOGA2009</t>
  </si>
  <si>
    <t>VOGA2011</t>
  </si>
  <si>
    <t>VOGA2013</t>
  </si>
  <si>
    <t>Multiple by which provincial deputy seats won by the most-voted party exceeded seats won by the 2nd most-voted party, 2009</t>
  </si>
  <si>
    <t>SEGA2009</t>
  </si>
  <si>
    <t>SEGA2011</t>
  </si>
  <si>
    <t>SEGA2013</t>
  </si>
  <si>
    <t>Multiple by which provincial deputy seats won by the most-voted party exceeded seats won by the 2nd most-voted party, 2011</t>
  </si>
  <si>
    <t>Multiple by which provincial deputy seats won by the most-voted party exceeded seats won by the 2nd most-voted party, 2013</t>
  </si>
  <si>
    <t>PERO2009</t>
  </si>
  <si>
    <t>PERO2011</t>
  </si>
  <si>
    <t>PERO2013</t>
  </si>
  <si>
    <t>PJ or Peronist-dominated coalition wins the most votes in the election for the provincial unicameral or lower-house legislative chamber: yes=1, no=0, 2009</t>
  </si>
  <si>
    <t>PJ or Peronist-dominated coalition wins the most votes in the election for the provincial unicameral or lower-house legislative chamber: yes=1, no=0, 2011</t>
  </si>
  <si>
    <t>PJ or Peronist-dominated coalition wins the most votes in the election for the provincial unicameral or lower-house legislative chamber: yes=1, no=0, 2013</t>
  </si>
  <si>
    <t>Fuente: Dirección Nacional de Coordinación Fiscal con las Provincias - Ministerio de Economía y Finanzas Públicas.</t>
  </si>
  <si>
    <t>Base de Datos Provinciales del Centro de Investigaciones en Administracion Publica (BASECIAP), Facultad de Ciencias Económicas, Universidad de Buenos Aires. "1. Datos Básicos de las Administraciones Públicas Provinciales (APP); 1.4. Empleo Público; 1.4.3. Planta de personal provincial a partir de 1983: Cantidad de empleados de la administración pública provincial." Accessed January 30, 2015, at http://www.econ.uba.ar/www/institutos/admin/ciap/baseciap/base.htm</t>
  </si>
  <si>
    <t>Fuente: Dirección Nacional de Coordinación Fiscal con las Provincias - Ministerio de Economía y Finanzas Públicas. Córdoba data are from the year 2000; Santa Cruz data are from March 2000.</t>
  </si>
  <si>
    <t>Fuente: Dirección Nacional de Coordinación Fiscal con las Provincias - Ministerio de Economía y Finanzas Públicas. Santa Cruz data are from June 2005.</t>
  </si>
  <si>
    <t>Fuente: Dirección Nacional de Coordinación Fiscal con las Provincias - Ministerio de Economía y Finanzas Públicas. Chaco figure from Ministerio de Economía y Finanzas Públicas, Dirección Nacional de Coordinación Fiscal con las Provincias, Sector Público Provincial, Ocupación y Gastos Salariales Provinciales: Administración Central, Organismos Descentralizados y Cuentas Especiales, Año 2011. Accessed January 30, 2015, at http://www2.mecon.gov.ar/hacienda/dncfp/provincial/gasto_medio.php</t>
  </si>
  <si>
    <t>Provincial public employees, absolute number, including Administración Central, Organismos Descentralizados y Cuentas Especiales</t>
  </si>
  <si>
    <t>Ministerio de Economía y Finanzas Públicas, Dirección Nacional de Coordinación Fiscal con las Provincias, Sector Público Provincial, Ocupación y Gastos Salariales Provinciales: Administración Central, Organismos Descentralizados y Cuentas Especiales, Año 2012. Accessed January 30, 2015, at http://www2.mecon.gov.ar/hacienda/dncfp/provincial/gasto_medio.php</t>
  </si>
  <si>
    <t>Public employment</t>
  </si>
  <si>
    <t>CIAP</t>
  </si>
  <si>
    <t>PUBEMTO83</t>
  </si>
  <si>
    <t>PUBEMTO84</t>
  </si>
  <si>
    <t>PUBEMTO85</t>
  </si>
  <si>
    <t>PUBEMTO86</t>
  </si>
  <si>
    <t>PUBEMTO87</t>
  </si>
  <si>
    <t>PUBEMTO88</t>
  </si>
  <si>
    <t>PUBEMTO89</t>
  </si>
  <si>
    <t>PUBEMTO90</t>
  </si>
  <si>
    <t>PUBEMTO91</t>
  </si>
  <si>
    <t>PUBEMTO92</t>
  </si>
  <si>
    <t>PUBEMTO93</t>
  </si>
  <si>
    <t>PUBEMTO94</t>
  </si>
  <si>
    <t>PUBEMTO95</t>
  </si>
  <si>
    <t>PUBEMTO96</t>
  </si>
  <si>
    <t>PUBEMTO97</t>
  </si>
  <si>
    <t>PUBEMTO98</t>
  </si>
  <si>
    <t>PUBEMTO99</t>
  </si>
  <si>
    <t>PUBEMTO00</t>
  </si>
  <si>
    <t>PUBEMTO01</t>
  </si>
  <si>
    <t>PUBEMTO02</t>
  </si>
  <si>
    <t>PUBEMTO03</t>
  </si>
  <si>
    <t>PUBEMTO04</t>
  </si>
  <si>
    <t>PUBEMTO05</t>
  </si>
  <si>
    <t>PUBEMTO06</t>
  </si>
  <si>
    <t>PUBEMTO07</t>
  </si>
  <si>
    <t>PUBEMTO08</t>
  </si>
  <si>
    <t>PUBEMTO09</t>
  </si>
  <si>
    <t>PUBEMTO10</t>
  </si>
  <si>
    <t>PUBEMTO11</t>
  </si>
  <si>
    <t>PUBEMTO12</t>
  </si>
  <si>
    <t>Prov Pub Empl</t>
  </si>
  <si>
    <t>Population (estimate), 2012</t>
  </si>
  <si>
    <t>Provincial public employees, per 1000 population, including Administración Central, Organismos Descentralizados y Cuentas Especiales</t>
  </si>
  <si>
    <t>per 1000 population</t>
  </si>
  <si>
    <t>Numerator from columns to the left; denominator from "Population" sheet of workbook, POPI indicator.</t>
  </si>
  <si>
    <t>PublicEmployment</t>
  </si>
  <si>
    <t>PUBEMPC83</t>
  </si>
  <si>
    <t>PUBEMPC84</t>
  </si>
  <si>
    <t>PUBEMPC85</t>
  </si>
  <si>
    <t>PUBEMPC86</t>
  </si>
  <si>
    <t>PUBEMPC87</t>
  </si>
  <si>
    <t>PUBEMPC88</t>
  </si>
  <si>
    <t>PUBEMPC89</t>
  </si>
  <si>
    <t>PUBEMPC90</t>
  </si>
  <si>
    <t>PUBEMPC91</t>
  </si>
  <si>
    <t>PUBEMPC92</t>
  </si>
  <si>
    <t>PUBEMPC93</t>
  </si>
  <si>
    <t>PUBEMPC94</t>
  </si>
  <si>
    <t>PUBEMPC95</t>
  </si>
  <si>
    <t>PUBEMPC96</t>
  </si>
  <si>
    <t>PUBEMPC97</t>
  </si>
  <si>
    <t>PUBEMPC98</t>
  </si>
  <si>
    <t>PUBEMPC99</t>
  </si>
  <si>
    <t>PUBEMPC00</t>
  </si>
  <si>
    <t>PUBEMPC01</t>
  </si>
  <si>
    <t>PUBEMPC02</t>
  </si>
  <si>
    <t>PUBEMPC03</t>
  </si>
  <si>
    <t>PUBEMPC04</t>
  </si>
  <si>
    <t>PUBEMPC05</t>
  </si>
  <si>
    <t>PUBEMPC06</t>
  </si>
  <si>
    <t>PUBEMPC07</t>
  </si>
  <si>
    <t>PUBEMPC08</t>
  </si>
  <si>
    <t>PUBEMPC09</t>
  </si>
  <si>
    <t>PUBEMPC10</t>
  </si>
  <si>
    <t>PUBEMPC11</t>
  </si>
  <si>
    <t>PUBEMPC12</t>
  </si>
  <si>
    <t>Provincial public spending on health care as a percentage of total provincial public spending, CIAP Series 3, 2012</t>
  </si>
  <si>
    <t>Provincial public spending on health care as a percentage of total provincial public spending, CIAP Series 3, 2013</t>
  </si>
  <si>
    <t>PUBSPHCI3_12</t>
  </si>
  <si>
    <t>PUBSPHCI3_13</t>
  </si>
  <si>
    <t>Fuente: Dirección Nacional de Coordinación Fiscal con las Provincias - Ministerio de Economía y Producción. Pertains to Administracion Central, Organismos Descentralizados y Cuentas Especiales. Calculated from values expressed in Milliones de Pesos Corrientes. La Rioja data from http://www2.mecon.gov.ar/hacienda/dncfp/provincial/info_presupuestaria/gasto_FIN_FUN/fin_fun_total_serie_ACOD.php accessed 30 Jan 2015</t>
  </si>
  <si>
    <t>Ministerio de Economía y Finanzas Públicas, Dirección Nacional de Coordinación Fiscal con las Provincias, Sector Público Provincial, Información Presupuestaria, Gasto por Finalidad y Función, Por Jurisdicción, Serie Administración Pública no Financiera, Participación Porcentual. Accessed January 30, 2015, at http://www2.mecon.gov.ar/hacienda/dncfp/provincial/info_presupuestaria/gasto_FIN_FUN/fin_fun_juris_serie_APNF.php</t>
  </si>
  <si>
    <t>Data from 2008-2011 show that this series is identical with CIAP series 3.</t>
  </si>
  <si>
    <t>As of March 21, 2011. Compiled by James W. McGuire using names of deputies from each provinces. Source: Argentina. Honorable Cámara de Diputados de la Nación. "Diputados Nacionales." Accessed March 21, 2011, at http://webappl.hcdn.gov.ar/diputados/listadodiputados.html</t>
  </si>
  <si>
    <t>% aged 65+</t>
  </si>
  <si>
    <t>pop65_70</t>
  </si>
  <si>
    <t>pop65_80</t>
  </si>
  <si>
    <t>pop65_91</t>
  </si>
  <si>
    <t>pop65_01</t>
  </si>
  <si>
    <t>pop65_10</t>
  </si>
  <si>
    <t>pop65_14</t>
  </si>
  <si>
    <t>Calculated from Argentina. Instituto Nacional de Estadistica y Censos. Población. Cuadros Estadísticos. Cuadro 2. Proyecciones por Provincia. Población por sexo y grupos quinquenales de edad para el total del país y provincias. Años 2010-2040. Accessed February 1, 2015, at http://www.indec.mecon.gov.ar/nivel4_default.asp?id_tema_1=2&amp;id_tema_2=24&amp;id_tema_3=85</t>
  </si>
  <si>
    <t>Argentina. Instituto Nacional de Estadistica y Censos. Cuadro P18. Total del país. Envejecimiento de la población por provincia, según censos nacionales 1970 a 2010. Porcentaje de población de 65 años y más. Accessed February 1, 2015, at http://www.censo2010.indec.gov.ar/resultadosdefinitivos_totalpais.asp</t>
  </si>
  <si>
    <t>Interpolated from pop65_70 and pop65_80 using the ipolate command in Stata 12</t>
  </si>
  <si>
    <t>ibue</t>
  </si>
  <si>
    <t>icap</t>
  </si>
  <si>
    <t>icat</t>
  </si>
  <si>
    <t>icha</t>
  </si>
  <si>
    <t>ichu</t>
  </si>
  <si>
    <t>icba</t>
  </si>
  <si>
    <t>icrr</t>
  </si>
  <si>
    <t>ient</t>
  </si>
  <si>
    <t>ifor</t>
  </si>
  <si>
    <t>ijuj</t>
  </si>
  <si>
    <t>ilap</t>
  </si>
  <si>
    <t>ilar</t>
  </si>
  <si>
    <t>imen</t>
  </si>
  <si>
    <t>imis</t>
  </si>
  <si>
    <t>ineu</t>
  </si>
  <si>
    <t>irio</t>
  </si>
  <si>
    <t>isal</t>
  </si>
  <si>
    <t>isju</t>
  </si>
  <si>
    <t>islu</t>
  </si>
  <si>
    <t>iscr</t>
  </si>
  <si>
    <t>isfe</t>
  </si>
  <si>
    <t>istg</t>
  </si>
  <si>
    <t>itie</t>
  </si>
  <si>
    <t>ituc</t>
  </si>
  <si>
    <t>iarg</t>
  </si>
  <si>
    <t>pop65_71</t>
  </si>
  <si>
    <t>pop65_72</t>
  </si>
  <si>
    <t>pop65_73</t>
  </si>
  <si>
    <t>pop65_74</t>
  </si>
  <si>
    <t>pop65_75</t>
  </si>
  <si>
    <t>pop65_76</t>
  </si>
  <si>
    <t>pop65_77</t>
  </si>
  <si>
    <t>pop65_78</t>
  </si>
  <si>
    <t>pop65_79</t>
  </si>
  <si>
    <t>pop65_81</t>
  </si>
  <si>
    <t>pop65_82</t>
  </si>
  <si>
    <t>pop65_83</t>
  </si>
  <si>
    <t>pop65_84</t>
  </si>
  <si>
    <t>pop65_85</t>
  </si>
  <si>
    <t>pop65_86</t>
  </si>
  <si>
    <t>pop65_87</t>
  </si>
  <si>
    <t>pop65_88</t>
  </si>
  <si>
    <t>pop65_89</t>
  </si>
  <si>
    <t>pop65_90</t>
  </si>
  <si>
    <t>pop65_92</t>
  </si>
  <si>
    <t>pop65_93</t>
  </si>
  <si>
    <t>pop65_94</t>
  </si>
  <si>
    <t>pop65_95</t>
  </si>
  <si>
    <t>pop65_96</t>
  </si>
  <si>
    <t>pop65_97</t>
  </si>
  <si>
    <t>pop65_98</t>
  </si>
  <si>
    <t>pop65_99</t>
  </si>
  <si>
    <t>pop65_00</t>
  </si>
  <si>
    <t>pop65_02</t>
  </si>
  <si>
    <t>pop65_03</t>
  </si>
  <si>
    <t>pop65_04</t>
  </si>
  <si>
    <t>pop65_05</t>
  </si>
  <si>
    <t>pop65_06</t>
  </si>
  <si>
    <t>pop65_07</t>
  </si>
  <si>
    <t>pop65_08</t>
  </si>
  <si>
    <t>pop65_09</t>
  </si>
  <si>
    <t>pop65_11</t>
  </si>
  <si>
    <t>pop65_12</t>
  </si>
  <si>
    <t>pop65_13</t>
  </si>
  <si>
    <t>Interpolated from pop65_80 and pop65_91 using the ipolate command in Stata 12</t>
  </si>
  <si>
    <t>Interpolated from pop65_91 and pop65_01 using the ipolate command in Stata 12</t>
  </si>
  <si>
    <t>Interpolated from pop65_01 and pop65_10 using the ipolate command in Stata 12</t>
  </si>
  <si>
    <t>Interpolated from pop65_10 and pop65_14 using the ipolate command in Stata 12</t>
  </si>
  <si>
    <t>Percentage of population aged 65+ (census), 1970</t>
  </si>
  <si>
    <t>Percentage of population aged 65+ (interpolated), 1971</t>
  </si>
  <si>
    <t>Percentage of population aged 65+ (interpolated), 1972</t>
  </si>
  <si>
    <t>Percentage of population aged 65+ (interpolated), 1973</t>
  </si>
  <si>
    <t>Percentage of population aged 65+ (interpolated), 1974</t>
  </si>
  <si>
    <t>Percentage of population aged 65+ (interpolated), 1975</t>
  </si>
  <si>
    <t>Percentage of population aged 65+ (interpolated), 1976</t>
  </si>
  <si>
    <t>Percentage of population aged 65+ (interpolated), 1977</t>
  </si>
  <si>
    <t>Percentage of population aged 65+ (interpolated), 1978</t>
  </si>
  <si>
    <t>Percentage of population aged 65+ (interpolated), 1979</t>
  </si>
  <si>
    <t>Percentage of population aged 65+ (census), 1980</t>
  </si>
  <si>
    <t>Percentage of population aged 65+ (interpolated), 1981</t>
  </si>
  <si>
    <t>Percentage of population aged 65+ (interpolated), 1982</t>
  </si>
  <si>
    <t>Percentage of population aged 65+ (interpolated), 1983</t>
  </si>
  <si>
    <t>Percentage of population aged 65+ (interpolated), 1984</t>
  </si>
  <si>
    <t>Percentage of population aged 65+ (interpolated), 1985</t>
  </si>
  <si>
    <t>Percentage of population aged 65+ (interpolated), 1986</t>
  </si>
  <si>
    <t>Percentage of population aged 65+ (interpolated), 1987</t>
  </si>
  <si>
    <t>Percentage of population aged 65+ (interpolated), 1988</t>
  </si>
  <si>
    <t>Percentage of population aged 65+ (interpolated), 1989</t>
  </si>
  <si>
    <t>Percentage of population aged 65+ (interpolated), 1990</t>
  </si>
  <si>
    <t>Percentage of population aged 65+ (census), 1991</t>
  </si>
  <si>
    <t>Percentage of population aged 65+ (interpolated), 1992</t>
  </si>
  <si>
    <t>Percentage of population aged 65+ (interpolated), 1993</t>
  </si>
  <si>
    <t>Percentage of population aged 65+ (interpolated), 1994</t>
  </si>
  <si>
    <t>Percentage of population aged 65+ (interpolated), 1995</t>
  </si>
  <si>
    <t>Percentage of population aged 65+ (interpolated), 1996</t>
  </si>
  <si>
    <t>Percentage of population aged 65+ (interpolated), 1997</t>
  </si>
  <si>
    <t>Percentage of population aged 65+ (interpolated), 1998</t>
  </si>
  <si>
    <t>Percentage of population aged 65+ (interpolated), 1999</t>
  </si>
  <si>
    <t>Percentage of population aged 65+ (interpolated), 2000</t>
  </si>
  <si>
    <t>Percentage of population aged 65+ (census), 2001</t>
  </si>
  <si>
    <t>Percentage of population aged 65+ (interpolated), 2002</t>
  </si>
  <si>
    <t>Percentage of population aged 65+ (interpolated), 2003</t>
  </si>
  <si>
    <t>Percentage of population aged 65+ (interpolated), 2004</t>
  </si>
  <si>
    <t>Percentage of population aged 65+ (interpolated), 2005</t>
  </si>
  <si>
    <t>Percentage of population aged 65+ (interpolated), 2006</t>
  </si>
  <si>
    <t>Percentage of population aged 65+ (interpolated), 2007</t>
  </si>
  <si>
    <t>Percentage of population aged 65+ (interpolated), 2008</t>
  </si>
  <si>
    <t>Percentage of population aged 65+ (interpolated), 2009</t>
  </si>
  <si>
    <t>Percentage of population aged 65+ (census), 2010</t>
  </si>
  <si>
    <t>Percentage of population aged 65+ (interpolated), 2011</t>
  </si>
  <si>
    <t>Percentage of population aged 65+ (interpolated), 2012</t>
  </si>
  <si>
    <t>Percentage of population aged 65+ (interpolated), 2013</t>
  </si>
  <si>
    <t>Percentage of population aged 65+ (projected), 2014</t>
  </si>
  <si>
    <t>urb_70</t>
  </si>
  <si>
    <t>urb_80</t>
  </si>
  <si>
    <t>urb_91</t>
  </si>
  <si>
    <t>urb_01</t>
  </si>
  <si>
    <t>urb_10</t>
  </si>
  <si>
    <t>urb_71</t>
  </si>
  <si>
    <t>urb_72</t>
  </si>
  <si>
    <t>urb_73</t>
  </si>
  <si>
    <t>urb_74</t>
  </si>
  <si>
    <t>urb_75</t>
  </si>
  <si>
    <t>urb_76</t>
  </si>
  <si>
    <t>urb_77</t>
  </si>
  <si>
    <t>urb_78</t>
  </si>
  <si>
    <t>urb_79</t>
  </si>
  <si>
    <t>urb_81</t>
  </si>
  <si>
    <t>urb_82</t>
  </si>
  <si>
    <t>urb_83</t>
  </si>
  <si>
    <t>urb_84</t>
  </si>
  <si>
    <t>urb_85</t>
  </si>
  <si>
    <t>urb_86</t>
  </si>
  <si>
    <t>urb_87</t>
  </si>
  <si>
    <t>urb_88</t>
  </si>
  <si>
    <t>urb_89</t>
  </si>
  <si>
    <t>urb_90</t>
  </si>
  <si>
    <t>urb_92</t>
  </si>
  <si>
    <t>urb_93</t>
  </si>
  <si>
    <t>urb_94</t>
  </si>
  <si>
    <t>urb_95</t>
  </si>
  <si>
    <t>urb_96</t>
  </si>
  <si>
    <t>urb_97</t>
  </si>
  <si>
    <t>urb_98</t>
  </si>
  <si>
    <t>urb_99</t>
  </si>
  <si>
    <t>urb_00</t>
  </si>
  <si>
    <t>urb_02</t>
  </si>
  <si>
    <t>urb_03</t>
  </si>
  <si>
    <t>urb_04</t>
  </si>
  <si>
    <t>urb_05</t>
  </si>
  <si>
    <t>urb_06</t>
  </si>
  <si>
    <t>urb_07</t>
  </si>
  <si>
    <t>urb_08</t>
  </si>
  <si>
    <t>urb_09</t>
  </si>
  <si>
    <t>urb_11</t>
  </si>
  <si>
    <t>urb_12</t>
  </si>
  <si>
    <t>urb_13</t>
  </si>
  <si>
    <t>urb_14</t>
  </si>
  <si>
    <t>urb_15</t>
  </si>
  <si>
    <t>Population in localities with 2000 or more inhabitants (census), 1970</t>
  </si>
  <si>
    <t>Percentage of population in localities with 2000 or more inhabitants (interpolated), 1971</t>
  </si>
  <si>
    <t>Percentage of population in localities with 2000 or more inhabitants (interpolated), 1972</t>
  </si>
  <si>
    <t>Percentage of population in localities with 2000 or more inhabitants (interpolated), 1973</t>
  </si>
  <si>
    <t>Percentage of population in localities with 2000 or more inhabitants (interpolated), 1974</t>
  </si>
  <si>
    <t>Percentage of population in localities with 2000 or more inhabitants (interpolated), 1975</t>
  </si>
  <si>
    <t>Percentage of population in localities with 2000 or more inhabitants (interpolated), 1976</t>
  </si>
  <si>
    <t>Percentage of population in localities with 2000 or more inhabitants (interpolated), 1977</t>
  </si>
  <si>
    <t>Percentage of population in localities with 2000 or more inhabitants (interpolated), 1978</t>
  </si>
  <si>
    <t>Percentage of population in localities with 2000 or more inhabitants (interpolated), 1979</t>
  </si>
  <si>
    <t>Percentage of population in localities with 2000 or more inhabitants (census), 1980</t>
  </si>
  <si>
    <t>Percentage of population in localities with 2000 or more inhabitants (interpolated), 1981</t>
  </si>
  <si>
    <t>Percentage of population in localities with 2000 or more inhabitants (interpolated), 1982</t>
  </si>
  <si>
    <t>Percentage of population in localities with 2000 or more inhabitants (interpolated), 1983</t>
  </si>
  <si>
    <t>Percentage of population in localities with 2000 or more inhabitants (interpolated), 1984</t>
  </si>
  <si>
    <t>Percentage of population in localities with 2000 or more inhabitants (interpolated), 1985</t>
  </si>
  <si>
    <t>Percentage of population in localities with 2000 or more inhabitants (interpolated), 1986</t>
  </si>
  <si>
    <t>Percentage of population in localities with 2000 or more inhabitants (interpolated), 1987</t>
  </si>
  <si>
    <t>Percentage of population in localities with 2000 or more inhabitants (interpolated), 1988</t>
  </si>
  <si>
    <t>Percentage of population in localities with 2000 or more inhabitants (interpolated), 1989</t>
  </si>
  <si>
    <t>Percentage of population in localities with 2000 or more inhabitants (interpolated), 1990</t>
  </si>
  <si>
    <t>Percentage of population in localities with 2000 or more inhabitants (census), 1991</t>
  </si>
  <si>
    <t>Percentage of population in localities with 2000 or more inhabitants (interpolated), 1992</t>
  </si>
  <si>
    <t>Percentage of population in localities with 2000 or more inhabitants (interpolated), 1993</t>
  </si>
  <si>
    <t>Percentage of population in localities with 2000 or more inhabitants (interpolated), 1994</t>
  </si>
  <si>
    <t>Percentage of population in localities with 2000 or more inhabitants (interpolated), 1995</t>
  </si>
  <si>
    <t>Percentage of population in localities with 2000 or more inhabitants (interpolated), 1996</t>
  </si>
  <si>
    <t>Percentage of population in localities with 2000 or more inhabitants (interpolated), 1997</t>
  </si>
  <si>
    <t>Percentage of population in localities with 2000 or more inhabitants (interpolated), 1998</t>
  </si>
  <si>
    <t>Percentage of population in localities with 2000 or more inhabitants (interpolated), 1999</t>
  </si>
  <si>
    <t>Percentage of population in localities with 2000 or more inhabitants (interpolated), 2000</t>
  </si>
  <si>
    <t>Percentage of population in localities with 2000 or more inhabitants (census), 2001</t>
  </si>
  <si>
    <t>Percentage of population in localities with 2000 or more inhabitants (interpolated), 2002</t>
  </si>
  <si>
    <t>Percentage of population in localities with 2000 or more inhabitants (interpolated), 2003</t>
  </si>
  <si>
    <t>Percentage of population in localities with 2000 or more inhabitants (interpolated), 2004</t>
  </si>
  <si>
    <t>Percentage of population in localities with 2000 or more inhabitants (interpolated), 2005</t>
  </si>
  <si>
    <t>Percentage of population in localities with 2000 or more inhabitants (interpolated), 2006</t>
  </si>
  <si>
    <t>Percentage of population in localities with 2000 or more inhabitants (interpolated), 2007</t>
  </si>
  <si>
    <t>Percentage of population in localities with 2000 or more inhabitants (interpolated), 2008</t>
  </si>
  <si>
    <t>Percentage of population in localities with 2000 or more inhabitants (interpolated), 2009</t>
  </si>
  <si>
    <t>Percentage of population in localities with 2000 or more inhabitants (census), 2010</t>
  </si>
  <si>
    <t>Percentage of population in localities with 2000 or more inhabitants (interpolated), 2011</t>
  </si>
  <si>
    <t>Percentage of population in localities with 2000 or more inhabitants (interpolated), 2012</t>
  </si>
  <si>
    <t>Percentage of population in localities with 2000 or more inhabitants (interpolated), 2013</t>
  </si>
  <si>
    <t>Percentage of population in localities with 2000 or more inhabitants (interpolated), 2014</t>
  </si>
  <si>
    <t>Percentage of population in localities with 2000 or more inhabitants (projected), 2015</t>
  </si>
  <si>
    <t>Interpolated from urb_70 and urb_80 using the ipolate command in Stata 12</t>
  </si>
  <si>
    <t>Interpolated from urb_80 and urb_91 using the ipolate command in Stata 12</t>
  </si>
  <si>
    <t>Interpolated from urb_91 and urb_01 using the ipolate command in Stata 12</t>
  </si>
  <si>
    <t>Interpolated from urb_01 and urb_10 using the ipolate command in Stata 12</t>
  </si>
  <si>
    <t>Projected from urb_01 and urb_10 assuming a growth rate in the urban population from 2010 to 2015 equal to the growth rate in the urban population from 2001 to 2010</t>
  </si>
  <si>
    <t>Interpolated from urb_10 and urb_15 using the ipolate command in Stata 12</t>
  </si>
  <si>
    <t>Argentina. Instituto Nacional de Estadística y Censos. "Porcentaje de población urbana, según provincia. Total del país. Años 1970, 1980, 1991, 2001 y 2010." Accessed 14 October 2014 at www.indec.mecon.ar/ftp//nuevaweb/cuadros/7/sesd_01f01.xls. Original data from INDEC. Censo Nacionales de Población, Familias y Viviendas 1970.</t>
  </si>
  <si>
    <t>Argentina. Instituto Nacional de Estadística y Censos. "Porcentaje de población urbana, según provincia. Total del país. Años 1970, 1980, 1991, 2001 y 2010." Accessed 14 October 2014 at www.indec.mecon.ar/ftp//nuevaweb/cuadros/7/sesd_01f01.xls. Original data from INDEC. Censo Nacionales de Población, Familias y Viviendas 1980.</t>
  </si>
  <si>
    <t>Argentina. Instituto Nacional de Estadística y Censos. "Porcentaje de población urbana, según provincia. Total del país. Años 1970, 1980, 1991, 2001 y 2010." Accessed 14 October 2014 at www.indec.mecon.ar/ftp//nuevaweb/cuadros/7/sesd_01f01.xls.  Original data from INDEC. Censo Nacionales de Población, Familias y Viviendas 1991.</t>
  </si>
  <si>
    <t>Argentina. Instituto Nacional de Estadística y Censos. "Porcentaje de población urbana, según provincia. Total del país. Años 1970, 1980, 1991, 2001 y 2010." Accessed 14 October 2014 at www.indec.mecon.ar/ftp//nuevaweb/cuadros/7/sesd_01f01.xls.  Original data from INDEC. Censo Nacionales de Población, Familias y Viviendas 2001.</t>
  </si>
  <si>
    <t>Argentina. Instituto Nacional de Estadística y Censos. "Porcentaje de población urbana, según provincia. Total del país. Años 1970, 1980, 1991, 2001 y 2010." Accessed 14 October 2014 at www.indec.mecon.ar/ftp//nuevaweb/cuadros/7/sesd_01f01.xls.  Original data from INDEC. Censo Nacionales de Población, Familias y Viviendas 2010.</t>
  </si>
  <si>
    <t>Population aged 65 and older</t>
  </si>
  <si>
    <t>PopulationAged65plus</t>
  </si>
  <si>
    <t xml:space="preserve"> According to EV for 1994 (published Dec 1995), p. 9, figures for some provinces are from a year other than 1991 viz.:  Chubut 1992, Entre Ríos 1990, La Pampa 1992, Mendoza 1990, Salta 1988, Santa Cruz 1989, Stgo. del Estero 1985, Tucumán 1986. Tierra del Fuego: error in original. Out of 2119 births, only 3 were supposedly in a medical facility.</t>
  </si>
  <si>
    <t xml:space="preserve"> According to EV for 1994 (published Dec 1995), p. 9, figures for some provinces are from a year other than 1991 viz.:  Chubut 1992, Entre Ríos 1990, La Pampa 1992, Mendoza 1990, Salta 1988, Santa Cruz 1989, Stgo. del Estero 1985, Tucumán 1986.  Tierra del Fuego: error in original. Out of 2119 births, only 3 were supposedly in a medical facility.</t>
  </si>
  <si>
    <t>Date of provincial deputy election, 2013</t>
  </si>
  <si>
    <t>Atlas Electoral de Andy Tow. Accessed February 14, 2015, at http://towsa.com/andy/totalpais/index.html</t>
  </si>
  <si>
    <t>Barnes, Tiffany D. "Gender Quotas and the Representation of Women: Empowerment, Decision-Making, and Public Policy." PhD Diss., Department of Political Science, Rice University, 2012, p. 3. Information on the placement mandate in Entre Ríos from http://lanotadigital.com.ar/2011/03/03/expectativas-y-criticas-a-la-ley-de-equidad-de-genero/</t>
  </si>
  <si>
    <t>placeyearbarnes</t>
  </si>
  <si>
    <t>placemandbarnes</t>
  </si>
  <si>
    <t xml:space="preserve">Calculated from Argentina. Ministerio de Salud y Acción Social. Dirección de Estadísticas de Salud (1988). Estadísticas vitales. Información Basica Años 1984-1985. Serie 5, Nº 28 (Diciembre de 1988). Buenos Aires: Ministerio de Salud y Acción Social. Tabla 4a, Nacidos vivos registrados según local de ocurrencia y persona que atendió el parto, Año 1984 (p. 24). </t>
  </si>
  <si>
    <t>Calculated from Argentina. Ministerio de Salud y Acción Social. Secretaría de Políticas y Regulación Sanitaria. Dirección de Estadística e Información de Salud (2000). Estadísticas vitales. Información Basica Año 1999. Serie 5, Nº 43 (Diciembre de 2000). Buenos Aires: Ministerio de Salud y Acción Social, p. 29. Tabla 14, Nacidos vivos registrados según local de ocurrencia, Año 1999.</t>
  </si>
  <si>
    <t>Catamarca figure unusable because 36.2 percent of births took place at a location "sin espesificar"</t>
  </si>
  <si>
    <t>Catamarca figure unusable because 38.0 percent of births took place at a location "sin espesificar"</t>
  </si>
  <si>
    <t xml:space="preserve"> According to EV for 1998 (published Dec 1999), p. 9, figures for all provinces are from the year 1998. Catamarca figure unusable because 7.8 percent of births took place at a location "sin espesificar"</t>
  </si>
  <si>
    <t>Granara, Aixa (2014). "Representación legislativa de las mujeres en las provincias argentinas, 1989-2011." América Latina Hoy 66, p. 122. Corrientes established a sanction along with its placement mandate in 2001. Granara 2014: 133 n. 24.</t>
  </si>
  <si>
    <t>Calculated from data assocated with Porto, Alberto, Director (2004). Disparidades regionales y federalismo fiscal. La Plata, Argentina: Editorial de la Universidad de La Plata. Accessed December 21, 2009, at http://www.depeco.econo.unlp.edu.ar/federalismo/default.html</t>
  </si>
  <si>
    <t>1970-1997: Based on provincial share of total national GDP (Observatorio Económico Territorial, U. Nac. del Litoral, http://www.unl.edu.ar/oet (retrieved 24 June 2010; National GDP in 2005 $US (PWT 6.3, var. RGDPCH). 1997-2005: Comisión Económica para América Latina y el Caribe. Oficina de la CEPAL en Buenos Aires. "Participación Provincial en el Total Nacional del Producto Bruto Geográfico a Precios Corrientes." Accessed 14 October 2014 at http://www.cepal.org/argentina/noticias/paginas/3/10463/EjecpresupProvWeb2011.XLS</t>
  </si>
  <si>
    <t>Density</t>
  </si>
  <si>
    <t>Univ Naci Litoral</t>
  </si>
  <si>
    <t>Inhabitants per square kilometer (census), 1980</t>
  </si>
  <si>
    <t>Inhabitants per square kilometer (census), 1991</t>
  </si>
  <si>
    <t>Inhabitants per square kilometer (census), 2001</t>
  </si>
  <si>
    <t>Inhabitants per square kilometer (census), 2010</t>
  </si>
  <si>
    <t>Inhabitants per square kilometer (interpolated), 1981</t>
  </si>
  <si>
    <t>Inhabitants per square kilometer (interpolated), 1982</t>
  </si>
  <si>
    <t>Inhabitants per square kilometer (interpolated), 1983</t>
  </si>
  <si>
    <t>Inhabitants per square kilometer (interpolated), 1984</t>
  </si>
  <si>
    <t>Inhabitants per square kilometer (interpolated), 1985</t>
  </si>
  <si>
    <t>Inhabitants per square kilometer (interpolated), 1986</t>
  </si>
  <si>
    <t>Inhabitants per square kilometer (interpolated), 1987</t>
  </si>
  <si>
    <t>Inhabitants per square kilometer (interpolated), 1988</t>
  </si>
  <si>
    <t>Inhabitants per square kilometer (interpolated), 1989</t>
  </si>
  <si>
    <t>Inhabitants per square kilometer (interpolated), 1990</t>
  </si>
  <si>
    <t>Inhabitants per square kilometer (interpolated), 1992</t>
  </si>
  <si>
    <t>Inhabitants per square kilometer (interpolated), 1993</t>
  </si>
  <si>
    <t>Inhabitants per square kilometer (interpolated), 1994</t>
  </si>
  <si>
    <t>Inhabitants per square kilometer (interpolated), 1995</t>
  </si>
  <si>
    <t>Inhabitants per square kilometer (interpolated), 1996</t>
  </si>
  <si>
    <t>Inhabitants per square kilometer (interpolated), 1997</t>
  </si>
  <si>
    <t>Inhabitants per square kilometer (interpolated), 1998</t>
  </si>
  <si>
    <t>Inhabitants per square kilometer (interpolated), 1999</t>
  </si>
  <si>
    <t>Inhabitants per square kilometer (interpolated), 2000</t>
  </si>
  <si>
    <t>Inhabitants per square kilometer (interpolated), 2002</t>
  </si>
  <si>
    <t>Inhabitants per square kilometer (interpolated), 2003</t>
  </si>
  <si>
    <t>Inhabitants per square kilometer (interpolated), 2004</t>
  </si>
  <si>
    <t>Inhabitants per square kilometer (interpolated), 2005</t>
  </si>
  <si>
    <t>Inhabitants per square kilometer (interpolated), 2006</t>
  </si>
  <si>
    <t>Inhabitants per square kilometer (interpolated), 2007</t>
  </si>
  <si>
    <t>Inhabitants per square kilometer (interpolated), 2008</t>
  </si>
  <si>
    <t>Inhabitants per square kilometer (interpolated), 2009</t>
  </si>
  <si>
    <t>Inhabitants per square kilometer (interpolated), 2011</t>
  </si>
  <si>
    <t>Inhabitants per square kilometer (interpolated), 2012</t>
  </si>
  <si>
    <t>Inhabitants per square kilometer (interpolated), 2013</t>
  </si>
  <si>
    <t>Inhabitants per square kilometer (interpolated), 2014</t>
  </si>
  <si>
    <t>Equipo Observatorio Económico Territorial Universidad Nacional del Litoral- OET. "Cuadro 2: Densidad de Población (habitantes por Km2) por Provincia y Total Nacional 1895-2010." Accessed October 14, 2014, at www.unl.edu.ar/oet/userfiles/image/3601Poblacion.xls</t>
  </si>
  <si>
    <t>dens_80</t>
  </si>
  <si>
    <t>dens_81</t>
  </si>
  <si>
    <t>dens_82</t>
  </si>
  <si>
    <t>dens_83</t>
  </si>
  <si>
    <t>dens_84</t>
  </si>
  <si>
    <t>dens_85</t>
  </si>
  <si>
    <t>dens_86</t>
  </si>
  <si>
    <t>dens_87</t>
  </si>
  <si>
    <t>dens_88</t>
  </si>
  <si>
    <t>dens_89</t>
  </si>
  <si>
    <t>dens_90</t>
  </si>
  <si>
    <t>dens_91</t>
  </si>
  <si>
    <t>dens_92</t>
  </si>
  <si>
    <t>dens_93</t>
  </si>
  <si>
    <t>dens_94</t>
  </si>
  <si>
    <t>dens_95</t>
  </si>
  <si>
    <t>dens_96</t>
  </si>
  <si>
    <t>dens_97</t>
  </si>
  <si>
    <t>dens_98</t>
  </si>
  <si>
    <t>dens_99</t>
  </si>
  <si>
    <t>dens_00</t>
  </si>
  <si>
    <t>dens_01</t>
  </si>
  <si>
    <t>dens_02</t>
  </si>
  <si>
    <t>dens_03</t>
  </si>
  <si>
    <t>dens_04</t>
  </si>
  <si>
    <t>dens_05</t>
  </si>
  <si>
    <t>dens_06</t>
  </si>
  <si>
    <t>dens_07</t>
  </si>
  <si>
    <t>dens_08</t>
  </si>
  <si>
    <t>dens_09</t>
  </si>
  <si>
    <t>dens_10</t>
  </si>
  <si>
    <t>dens_11</t>
  </si>
  <si>
    <t>dens_12</t>
  </si>
  <si>
    <t>dens_13</t>
  </si>
  <si>
    <t>dens_14</t>
  </si>
  <si>
    <t>dens_15</t>
  </si>
  <si>
    <t>Interpolated from dens_80 and dens_91 using the ipolate command in Stata 12</t>
  </si>
  <si>
    <t>Interpolated from dens_91 and dens_01 using the ipolate command in Stata 12</t>
  </si>
  <si>
    <t>Interpolated from dens_01 and dens_10 using the ipolate command in Stata 12</t>
  </si>
  <si>
    <t>Interpolated from dens_10 and dens_15 using the ipolate command in Stata 12</t>
  </si>
  <si>
    <t>Projected from dens_01 and dens_10 assuming a growth rate in the urban population from 2010 to 2015 equal to the growth rate in the urban population from 2001 to 2010</t>
  </si>
  <si>
    <t>Population density</t>
  </si>
  <si>
    <t>PopulationDensity</t>
  </si>
  <si>
    <t>Own Coding</t>
  </si>
  <si>
    <t>First year in which half or all of provincial unicameral or lower-house legislators were elected in the presence of a gender quota</t>
  </si>
  <si>
    <t>electedquotapresent</t>
  </si>
  <si>
    <t xml:space="preserve">Own coding based on Barnes (2012: 3) date on which gender quota law passed and on Tow, Atlas Electoral, providing date of first election subsequent to the date on which the gender quota law was passed </t>
  </si>
  <si>
    <t>Compiled by James W. McGuire, Department of Government, Wesleyan University, Middletown, Connecticut, USA. Contact: jmcguire@ wesleyan.edu</t>
  </si>
  <si>
    <t>Boldfaced: based on birth and/or infant death data from a year other than the indicated year, according to Argentina. Ministerio de Salud y Acción Social (1998). Estadísticas vitales: Información basica año 1997. Dirección de Estadísticas e Información de Salud. Buenos Aires: Ministerio de Salud, pp. 11-13.</t>
  </si>
  <si>
    <t>Number of provincial deputy seats held by women, primary sources</t>
  </si>
  <si>
    <t>Source 12: Giacometti, Claudia (2005). "Las metas del Milenio y la igualdad de género. El caso de Argentina." CEPAL, Unidad Mujer y Desarrollo, Serie mujer y desarrollo 72 (Agosto). Santiago, Chile: CEPAL, 2005, p. 51</t>
  </si>
  <si>
    <t>Source 17: Argentina. INDEC and UNICEF (n.d.), "Cantidad de bancas ocupadas por mujeres y presencia femenina en cargos parlamentarios del poder legislativo nacional y provincial. Años 1999 y 2001." Data associated with Argentina. INDEC and UNICEF, Situación y Evolución de las Mujeres en la Argentina - Indicadores Seleccionados. Accessed March 17, 2011, at www.indec.gov.ar/nuevaweb/cuadros/2/Mujerescuadro28.xls</t>
  </si>
  <si>
    <t>Inhabitants per square kilometer (interpolated), 2015</t>
  </si>
  <si>
    <t>PROVELDATE13</t>
  </si>
  <si>
    <t>Date of provincial deputy election, 2015</t>
  </si>
  <si>
    <t>PROVELDATE15</t>
  </si>
  <si>
    <t>no election</t>
  </si>
  <si>
    <t>Atlas Electoral de Andy Tow. Accessed July 16, 2016, at http://towsa.com/andy/totalpais/index.html</t>
  </si>
  <si>
    <t>Tow 2016</t>
  </si>
  <si>
    <t>Turnout in provincial deputy election (votes divided by eligible voters), 2015</t>
  </si>
  <si>
    <t>TURN2015</t>
  </si>
  <si>
    <t>2014</t>
  </si>
  <si>
    <t>Argentina. Ministerio de Salud (2015). Estadísticas vitales: Información basica - Año 2014. Dirección de Estadísticas e Información de Salud. Serie 5, Número 58, p. 80. Diciembre. Buenos Aires: Ministerio de Salud. Accessed July 16, 2016, at http://deis.msal.gov.ar/wp-content/uploads/2016/01/Serie5Nro58.pdf</t>
  </si>
  <si>
    <t>IMR14</t>
  </si>
  <si>
    <t>Infant (0-1) deaths per 1000 live births, 2014, according to the province in which the mother usually resides.</t>
  </si>
  <si>
    <t>Maternal deaths per 100,000 live births by year of registry and province in which the mother normally resides, 2014</t>
  </si>
  <si>
    <t>MMR14</t>
  </si>
  <si>
    <t>Calculated from Argentina. Ministerio de Salud (2015). Estadísticas vitales: Información basica - Año 2014. Dirección de Estadísticas e Información de Salud. Serie 5, Número 58, p. 92. Diciembre. Buenos Aires: Ministerio de Salud. Accessed July 16, 2016, at http://deis.msal.gov.ar/wp-content/uploads/2016/01/Serie5Nro58.pdf</t>
  </si>
  <si>
    <t>BIRHOM2014</t>
  </si>
  <si>
    <r>
      <t xml:space="preserve">Calculated from Argentina. Ministerio de Salud. Dirección de Estadísticas e Información de Salud (2015). </t>
    </r>
    <r>
      <rPr>
        <u/>
        <sz val="9"/>
        <rFont val="Times New Roman"/>
        <family val="1"/>
      </rPr>
      <t>Estadísticas vitales. Información basica - 2014</t>
    </r>
    <r>
      <rPr>
        <sz val="9"/>
        <rFont val="Times New Roman"/>
        <family val="1"/>
      </rPr>
      <t>. Serie 5 No. 58. Diciembre de 2015. Buenos Aires: Ministerio de Salud. Tabla 17, Nacidos vivos registrados según local de ocurrencia, Año 2014 (p. 22).</t>
    </r>
  </si>
  <si>
    <t>Residential electricity consumpton billed, in MWh, 2013</t>
  </si>
  <si>
    <t>Residential electricity consumpton billed, in MWh, 2014</t>
  </si>
  <si>
    <t>MWH13</t>
  </si>
  <si>
    <t>MWH14</t>
  </si>
  <si>
    <t>Argentina. Ministerio de Energá y Minería. Información del Sector. Sector Eléctrico. Informes Estadísticos del Sector Eléctrico 2013. 
Distribución de Energía Eléctrica por tipo y jurisdicción provincial. Resumen facturado 2013. Accessed July 16, 2016, at http://energia3.mecon.gov.ar/contenidos/verpagina.php?idpagina=3953</t>
  </si>
  <si>
    <t>Capital Federal figure is the sum of the Capital Federal residential electricity consumption figures in EDENOR and EDESUR databases. Buenos Aires figure is the sum of Total Buenos Aires and Total Capital Federal y GBA figures in the Resumen Facturado 2013 databases, minus the Federal Capital figure.</t>
  </si>
  <si>
    <t>Argentina. Ministerio de Energá y Minería. Información del Sector. Sector Eléctrico. Informes Estadísticos del Sector Eléctrico 2014. 
Distribución de Energía Eléctrica por tipo y jurisdicción provincial. Resumen facturado 2014. Accessed July 16, 2016, at http://energia3.mecon.gov.ar/contenidos/verpagina.php?idpagina=4021</t>
  </si>
  <si>
    <t>Capital Federal figure is the sum of the Capital Federal residential electricity consumption figures in EDENOR and EDESUR databases. Buenos Aires figure is the sum of Total Buenos Aires and Total Capital Federal y GBA figures in the Resumen Facturado 2014 databases, minus the Federal Capital figure.</t>
  </si>
  <si>
    <t>d</t>
  </si>
  <si>
    <t>Population (estimate), 2013</t>
  </si>
  <si>
    <t>Population (estimate), 2014</t>
  </si>
  <si>
    <t>POPI2013</t>
  </si>
  <si>
    <t>POPI2014</t>
  </si>
  <si>
    <t>Argentina. Ministerio de Salud (2013). Estadísticas vitales: Información basica - Año 2012. Dirección de Estadísticas e Información de Salud. Serie 5, Número 56, p. 110. Diciembre. Buenos Aires: Ministerio de Salud. Accessed June 26, 2014, at http://www.deis.gov.ar/publicaciones/archivos/Serie5Nro56.pdf</t>
  </si>
  <si>
    <t>Argentina. Ministerio de Salud (2014). Estadísticas vitales: Información basica - Año 2013. Dirección de Estadísticas e Información de Salud. Serie 5, Número 57, p. 110. Diciembre. Buenos Aires: Ministerio de Salud. Accessed January 27, 2015, at http://www.deis.gov.ar/Publicaciones/Archivos/Serie5Nro57.pdf</t>
  </si>
  <si>
    <t>Argentina. Ministerio de Salud (2015). Estadísticas vitales: Información basica - Año 2014. Dirección de Estadísticas e Información de Salud. Serie 5, Número 58, p. 110. Diciembre. Buenos Aires: Ministerio de Salud. Accessed July 16, 2016, at http://deis.msal.gov.ar/wp-content/uploads/2016/01/Serie5Nro58.pdf</t>
  </si>
  <si>
    <t>Per capita residential electricity consumpton billed, in KWh per capita, 2013</t>
  </si>
  <si>
    <t>Per capita residential electricity consumpton billed, in KWh per capita, 2014</t>
  </si>
  <si>
    <t>KWHPC13</t>
  </si>
  <si>
    <t>KWHPC14</t>
  </si>
  <si>
    <t>Estimaciones de Productos brutos provinciales basadas en el consumo residencial de energía eléctrica realizadas por María Cristina Mirabella de Sant y Federico Eugenio Nanni en el marco del programa 26/ F203 "Análisis Económico Regional y Nacional" del CIUNT [Consejo de Investigaciones de la Universidad Nacional de Tucumán]. April 2006. Accessed January 27, 2010, at http://www.face.unt.edu.ar/inveco/profesores/47/Estimaciones%20Productos%20brutos%20de%20pcias..xls</t>
  </si>
  <si>
    <t xml:space="preserve">CEPAL Buenos Aires, Dinamica Productiva Provincial: Participación provincial en el total nacional del producto bruto geográfico (en porcentajes). Accessed December 24, 2009, at http://www.eclac.org/argentina/noticias/paginas/4/10424/PartPcial.xls </t>
  </si>
  <si>
    <t>UNLP OET</t>
  </si>
  <si>
    <t>SHUNLP70</t>
  </si>
  <si>
    <t>SHUNLP71</t>
  </si>
  <si>
    <t>SHUNLP72</t>
  </si>
  <si>
    <t>SHUNLP73</t>
  </si>
  <si>
    <t>SHUNLP74</t>
  </si>
  <si>
    <t>SHUNLP75</t>
  </si>
  <si>
    <t>SHUNLP76</t>
  </si>
  <si>
    <t>SHUNLP77</t>
  </si>
  <si>
    <t>SHUNLP78</t>
  </si>
  <si>
    <t>SHUNLP79</t>
  </si>
  <si>
    <t>SHUNLP80</t>
  </si>
  <si>
    <t>SHUNLP81</t>
  </si>
  <si>
    <t>SHUNLP82</t>
  </si>
  <si>
    <t>SHUNLP83</t>
  </si>
  <si>
    <t>SHUNLP84</t>
  </si>
  <si>
    <t>SHUNLP85</t>
  </si>
  <si>
    <t>SHUNLP86</t>
  </si>
  <si>
    <t>SHUNLP87</t>
  </si>
  <si>
    <t>SHUNLP88</t>
  </si>
  <si>
    <t>SHUNLP89</t>
  </si>
  <si>
    <t>SHUNLP90</t>
  </si>
  <si>
    <t>SHUNLP91</t>
  </si>
  <si>
    <t>SHUNLP92</t>
  </si>
  <si>
    <t>SHUNLP93</t>
  </si>
  <si>
    <t>SHUNLP94</t>
  </si>
  <si>
    <t>SHUNLP95</t>
  </si>
  <si>
    <t>SHUNLP96</t>
  </si>
  <si>
    <t>SHUNLP97</t>
  </si>
  <si>
    <t>SHUNLP98</t>
  </si>
  <si>
    <t>SHUNLP99</t>
  </si>
  <si>
    <t>SHUNLP2000</t>
  </si>
  <si>
    <t>SHUNLP2001</t>
  </si>
  <si>
    <t>SHUNLP2002</t>
  </si>
  <si>
    <t>SHUNLP2003</t>
  </si>
  <si>
    <t>SHUNLP2004</t>
  </si>
  <si>
    <t>SHUNLP2005</t>
  </si>
  <si>
    <t>SHUNLP2006</t>
  </si>
  <si>
    <t>SHUNLP2007</t>
  </si>
  <si>
    <t>SHUNLP2008</t>
  </si>
  <si>
    <t>SHUNLP2009</t>
  </si>
  <si>
    <t>SHUNLP2010</t>
  </si>
  <si>
    <t>SHUNLP2011</t>
  </si>
  <si>
    <t>SHUNLP2012</t>
  </si>
  <si>
    <t>SHUNLP2013</t>
  </si>
  <si>
    <t>Provincial share of Argentine GDP, 1970</t>
  </si>
  <si>
    <t>Provincial share of Argentine GDP, 1971</t>
  </si>
  <si>
    <t>Provincial share of Argentine GDP, 1972</t>
  </si>
  <si>
    <t>Provincial share of Argentine GDP, 1973</t>
  </si>
  <si>
    <t>Provincial share of Argentine GDP, 1974</t>
  </si>
  <si>
    <t>Provincial share of Argentine GDP, 1975</t>
  </si>
  <si>
    <t>Provincial share of Argentine GDP, 1976</t>
  </si>
  <si>
    <t>Provincial share of Argentine GDP, 1977</t>
  </si>
  <si>
    <t>Provincial share of Argentine GDP, 1978</t>
  </si>
  <si>
    <t>Provincial share of Argentine GDP, 1979</t>
  </si>
  <si>
    <t>Provincial share of Argentine GDP, 1980</t>
  </si>
  <si>
    <t>Provincial share of Argentine GDP, 1981</t>
  </si>
  <si>
    <t>Provincial share of Argentine GDP, 1982</t>
  </si>
  <si>
    <t>Provincial share of Argentine GDP, 1983</t>
  </si>
  <si>
    <t>Provincial share of Argentine GDP, 1984</t>
  </si>
  <si>
    <t>Provincial share of Argentine GDP, 1985</t>
  </si>
  <si>
    <t>Provincial share of Argentine GDP, 1986</t>
  </si>
  <si>
    <t>Provincial share of Argentine GDP, 1987</t>
  </si>
  <si>
    <t>Provincial share of Argentine GDP, 1988</t>
  </si>
  <si>
    <t>Provincial share of Argentine GDP, 1989</t>
  </si>
  <si>
    <t>Provincial share of Argentine GDP, 1990</t>
  </si>
  <si>
    <t>Provincial share of Argentine GDP, 1991</t>
  </si>
  <si>
    <t>Provincial share of Argentine GDP, 1992</t>
  </si>
  <si>
    <t>Provincial share of Argentine GDP, 1993</t>
  </si>
  <si>
    <t>Provincial share of Argentine GDP, 1994</t>
  </si>
  <si>
    <t>Provincial share of Argentine GDP, 1995</t>
  </si>
  <si>
    <t>Provincial share of Argentine GDP, 1996</t>
  </si>
  <si>
    <t>Provincial share of Argentine GDP, 1997</t>
  </si>
  <si>
    <t>Provincial share of Argentine GDP, 1998</t>
  </si>
  <si>
    <t>Provincial share of Argentine GDP, 1999</t>
  </si>
  <si>
    <t>Provincial share of Argentine GDP, 2000</t>
  </si>
  <si>
    <t>Provincial share of Argentine GDP, 2001</t>
  </si>
  <si>
    <t>Provincial share of Argentine GDP, 2002</t>
  </si>
  <si>
    <t>Provincial share of Argentine GDP, 2003</t>
  </si>
  <si>
    <t>Provincial share of Argentine GDP, 2004</t>
  </si>
  <si>
    <t>Provincial share of Argentine GDP, 2005</t>
  </si>
  <si>
    <t>Provincial share of Argentine GDP, 2006</t>
  </si>
  <si>
    <t>Provincial share of Argentine GDP, 2007</t>
  </si>
  <si>
    <t>Provincial share of Argentine GDP, 2008</t>
  </si>
  <si>
    <t>Provincial share of Argentine GDP, 2009</t>
  </si>
  <si>
    <t>Provincial share of Argentine GDP, 2010</t>
  </si>
  <si>
    <t>Provincial share of Argentine GDP, 2011</t>
  </si>
  <si>
    <t>Provincial share of Argentine GDP, 2012</t>
  </si>
  <si>
    <t>Provincial share of Argentine GDP, 2013</t>
  </si>
  <si>
    <t>nd</t>
  </si>
  <si>
    <t>Universidad Nacional de la Plata, Observatorio Económico Territorial. "Producto Bruto Geográfico y Producto Bruto Interno, 1993-2014." Accessed July 17, 2016, at http://www.unl.edu.ar/oet/index.php?act=showNoticiaInterna&amp;id=36</t>
  </si>
  <si>
    <t>HSHPCT05</t>
  </si>
  <si>
    <t>HSHPCT06</t>
  </si>
  <si>
    <t>HSHPCT07</t>
  </si>
  <si>
    <t>HSHPCT08</t>
  </si>
  <si>
    <t>HSHPCT09</t>
  </si>
  <si>
    <t>HSHPCT10</t>
  </si>
  <si>
    <t>HSHPCT11</t>
  </si>
  <si>
    <t>HSHPCT12</t>
  </si>
  <si>
    <t>HSHPCT13</t>
  </si>
  <si>
    <t>HSHPCT14</t>
  </si>
  <si>
    <t>Provincial public spending on health care as a percentage of total provincial public spending, MECON SPP, 2005</t>
  </si>
  <si>
    <t>Provincial public spending on health care as a percentage of total provincial public spending, MECON SPP, 2006</t>
  </si>
  <si>
    <t>Provincial public spending on health care as a percentage of total provincial public spending, MECON SPP, 2007</t>
  </si>
  <si>
    <t>Provincial public spending on health care as a percentage of total provincial public spending, MECON SPP, 2008</t>
  </si>
  <si>
    <t>Provincial public spending on health care as a percentage of total provincial public spending, MECON SPP, 2009</t>
  </si>
  <si>
    <t>Provincial public spending on health care as a percentage of total provincial public spending, MECON SPP, 2010</t>
  </si>
  <si>
    <t>Provincial public spending on health care as a percentage of total provincial public spending, MECON SPP, 2011</t>
  </si>
  <si>
    <t>Provincial public spending on health care as a percentage of total provincial public spending, MECON SPP, 2012</t>
  </si>
  <si>
    <t>Provincial public spending on health care as a percentage of total provincial public spending, MECON SPP, 2013</t>
  </si>
  <si>
    <t>Provincial public spending on health care as a percentage of total provincial public spending, MECON SPP, 2014</t>
  </si>
  <si>
    <t>Argentina. Ministerio de Economía. Información Fiscal Provincial y Municipal. "Sector Público Provincial, Información Presupuestaria, Gasto por Finalidad y Función, Por Jurisdicción, serie Administración Pública No Financiera, Participación Porcentual. Accessed July 17, 2016, at http://www2.mecon.gov.ar/hacienda/dncfp/provincial/info_presupuestaria/gasto_FIN_FUN/fin_fun_juris_serie_APNF.php</t>
  </si>
  <si>
    <r>
      <t xml:space="preserve">Calculated from Argentina. Ministerio de Salud. Dirección de Estadísticas e Información de Salud (2013). </t>
    </r>
    <r>
      <rPr>
        <u/>
        <sz val="9"/>
        <rFont val="Times New Roman"/>
        <family val="1"/>
      </rPr>
      <t>Estadísticas vitales. Información basica - 2012</t>
    </r>
    <r>
      <rPr>
        <sz val="9"/>
        <rFont val="Times New Roman"/>
        <family val="1"/>
      </rPr>
      <t>. Serie 5 No. 55. Diciembre de 2013. Buenos Aires: Ministerio de Salud. Tabla 17, Nacidos vivos registrados según local de ocurrencia, Año 2012 (p. 22).</t>
    </r>
  </si>
  <si>
    <r>
      <t xml:space="preserve">Calculated from Argentina. Ministerio de Salud. Dirección de Estadísticas e Información de Salud (2014). </t>
    </r>
    <r>
      <rPr>
        <u/>
        <sz val="9"/>
        <rFont val="Times New Roman"/>
        <family val="1"/>
      </rPr>
      <t>Estadísticas vitales. Información basica - 2013</t>
    </r>
    <r>
      <rPr>
        <sz val="9"/>
        <rFont val="Times New Roman"/>
        <family val="1"/>
      </rPr>
      <t>. Serie 5 No. 57. Diciembre de 2013. Buenos Aires: Ministerio de Salud. Tabla 17, Nacidos vivos registrados según local de ocurrencia, Año 2013 (p. 22).</t>
    </r>
  </si>
  <si>
    <t>mmr3ma</t>
  </si>
  <si>
    <t>mmr5ma</t>
  </si>
  <si>
    <t>(SHUNLP/100) ÷ POPI</t>
  </si>
  <si>
    <t>Total GDP</t>
  </si>
  <si>
    <t>Total GPP based on total Argentine GDP (PWT 9.0, var. RGDPe in Row 4) divided by provincial share of GDP according to the U of La Plata OET (SHUNLP)</t>
  </si>
  <si>
    <t>OET/ PWT 9.0</t>
  </si>
  <si>
    <t>GPPOEI70</t>
  </si>
  <si>
    <t>GPPOEI71</t>
  </si>
  <si>
    <t>GPPOEI72</t>
  </si>
  <si>
    <t>GPPOEI73</t>
  </si>
  <si>
    <t>GPPOEI74</t>
  </si>
  <si>
    <t>GPPOEI75</t>
  </si>
  <si>
    <t>GPPOEI76</t>
  </si>
  <si>
    <t>GPPOEI77</t>
  </si>
  <si>
    <t>GPPOEI78</t>
  </si>
  <si>
    <t>GPPOEI79</t>
  </si>
  <si>
    <t>GPPOEI80</t>
  </si>
  <si>
    <t>GPPOEI81</t>
  </si>
  <si>
    <t>GPPOEI82</t>
  </si>
  <si>
    <t>GPPOEI83</t>
  </si>
  <si>
    <t>GPPOEI84</t>
  </si>
  <si>
    <t>GPPOEI85</t>
  </si>
  <si>
    <t>GPPOEI86</t>
  </si>
  <si>
    <t>GPPOEI87</t>
  </si>
  <si>
    <t>GPPOEI88</t>
  </si>
  <si>
    <t>GPPOEI89</t>
  </si>
  <si>
    <t>GPPOEI90</t>
  </si>
  <si>
    <t>GPPOEI91</t>
  </si>
  <si>
    <t>GPPOEI92</t>
  </si>
  <si>
    <t>GPPOEI93</t>
  </si>
  <si>
    <t>GPPOEI94</t>
  </si>
  <si>
    <t>GPPOEI95</t>
  </si>
  <si>
    <t>GPPOEI96</t>
  </si>
  <si>
    <t>GPPOEI97</t>
  </si>
  <si>
    <t>GPPOEI98</t>
  </si>
  <si>
    <t>GPPOEI99</t>
  </si>
  <si>
    <t>GPPOEI00</t>
  </si>
  <si>
    <t>GPPOEI01</t>
  </si>
  <si>
    <t>GPPOEI02</t>
  </si>
  <si>
    <t>GPPOEI03</t>
  </si>
  <si>
    <t>GPPOEI04</t>
  </si>
  <si>
    <t>GPPOEI05</t>
  </si>
  <si>
    <t>GPPOEI06</t>
  </si>
  <si>
    <t>GPPOEI07</t>
  </si>
  <si>
    <t>GPPOEI08</t>
  </si>
  <si>
    <t>GPPOEI09</t>
  </si>
  <si>
    <t>GPPOEI10</t>
  </si>
  <si>
    <t>GPPOEI11</t>
  </si>
  <si>
    <t>GPPOEI12</t>
  </si>
  <si>
    <t>GPPOEI13</t>
  </si>
  <si>
    <t>GPP per capita in 2011 US dollars based on Argentine RGDPe (PWT 9.0),  share of GDP attributable to each province (UNLP-OEI), and government population estimates</t>
  </si>
  <si>
    <t>(SHUNLP/100) ÷ POPI. Provinces missing data had no UNLP/OEI estimate of share of national GDP they produced.</t>
  </si>
  <si>
    <t>Annual total GDP in 2011 US Dollars at PPP (shown in Row 4) is from PWT version 9.0, variable RGDPe. Feenstra, Robert C., Robert Inklaar and Marcel P. Timmer (2015), "The Next Generation of the Penn World Table." American Economic Review 105 No. 10, 3150-3182. DOI: 10.15141/S5J01T.</t>
  </si>
  <si>
    <t>Income</t>
  </si>
  <si>
    <t>Income per capita</t>
  </si>
  <si>
    <t>MECONDINREP</t>
  </si>
  <si>
    <t>IPCCU03</t>
  </si>
  <si>
    <t>IPCCU04</t>
  </si>
  <si>
    <t>IPCCU05</t>
  </si>
  <si>
    <t>IPCCU06</t>
  </si>
  <si>
    <t>IPCCU07</t>
  </si>
  <si>
    <t>IPCCU08</t>
  </si>
  <si>
    <t>IPCCU09</t>
  </si>
  <si>
    <t>IPCCU10</t>
  </si>
  <si>
    <t>IPCCU11</t>
  </si>
  <si>
    <t>IPCCU12</t>
  </si>
  <si>
    <t>IPCCU13</t>
  </si>
  <si>
    <t>IPCCU14</t>
  </si>
  <si>
    <t>IPCCO03</t>
  </si>
  <si>
    <t>IPCCO04</t>
  </si>
  <si>
    <t>IPCCO05</t>
  </si>
  <si>
    <t>IPCCO06</t>
  </si>
  <si>
    <t>IPCCO07</t>
  </si>
  <si>
    <t>IPCCO08</t>
  </si>
  <si>
    <t>IPCCO09</t>
  </si>
  <si>
    <t>IPCCO10</t>
  </si>
  <si>
    <t>IPCCO11</t>
  </si>
  <si>
    <t>IPCCO12</t>
  </si>
  <si>
    <t>IPCCO13</t>
  </si>
  <si>
    <t>IPCCO14</t>
  </si>
  <si>
    <t>s/d</t>
  </si>
  <si>
    <r>
      <t xml:space="preserve">Income per capita according to the fourth quarter EPH survey, in </t>
    </r>
    <r>
      <rPr>
        <b/>
        <sz val="9"/>
        <rFont val="Times"/>
        <family val="1"/>
      </rPr>
      <t>current</t>
    </r>
    <r>
      <rPr>
        <sz val="9"/>
        <rFont val="Times"/>
        <family val="1"/>
      </rPr>
      <t xml:space="preserve"> Argentine Pesos</t>
    </r>
  </si>
  <si>
    <t>Current Arg Pesos</t>
  </si>
  <si>
    <r>
      <t xml:space="preserve">Income per capita according to the fourth quarter EPH survey, in </t>
    </r>
    <r>
      <rPr>
        <b/>
        <sz val="9"/>
        <rFont val="Times"/>
        <family val="1"/>
      </rPr>
      <t>constant</t>
    </r>
    <r>
      <rPr>
        <sz val="9"/>
        <rFont val="Times"/>
        <family val="1"/>
      </rPr>
      <t xml:space="preserve"> Argentine Pesos</t>
    </r>
  </si>
  <si>
    <t>Constant Pesos</t>
  </si>
  <si>
    <r>
      <t xml:space="preserve">Argentina. Ministerio de Hacienda y Finanzas Públicas. Secretaría de Hacienda (2016). Subsecretaría de Coordinacion Provincial. "Información Económica Provincial y Municipal, </t>
    </r>
    <r>
      <rPr>
        <sz val="9"/>
        <color rgb="FF2D4665"/>
        <rFont val="Times New Roman"/>
        <family val="1"/>
      </rPr>
      <t>Series Históricas." Database Ingreso_per capita_EPH.xlsx dated May 12, 2016. Accessed July 21, 2016, at http://www2.mecon.gov.ar/hacienda/dinrep/mapas/serieHistoricaSocioLab.php</t>
    </r>
  </si>
  <si>
    <t>In current Argentine pesos</t>
  </si>
  <si>
    <t>In constant Argentine pesos. Current peso figure deflated by World Bank WDI GDP deflator for Argentina in the indicated year, variable NY.GDP.DEFL.ZS, accessed 21 July 2016</t>
  </si>
  <si>
    <t>GINIP92</t>
  </si>
  <si>
    <t>GINIP93</t>
  </si>
  <si>
    <t>GINIP94</t>
  </si>
  <si>
    <t>GINIP95</t>
  </si>
  <si>
    <t>GINIP96</t>
  </si>
  <si>
    <t>GINIP97</t>
  </si>
  <si>
    <t>GINIP98</t>
  </si>
  <si>
    <t>GINIP99</t>
  </si>
  <si>
    <t>GINIP00</t>
  </si>
  <si>
    <t>GINIP01</t>
  </si>
  <si>
    <t>GINIP02</t>
  </si>
  <si>
    <t>GINIC03</t>
  </si>
  <si>
    <t>GINIC04</t>
  </si>
  <si>
    <t>GINIC05</t>
  </si>
  <si>
    <t>GINIC06</t>
  </si>
  <si>
    <t>GINIC07</t>
  </si>
  <si>
    <t>GINIC08</t>
  </si>
  <si>
    <t>GINIC09</t>
  </si>
  <si>
    <t>GINIC10</t>
  </si>
  <si>
    <t>GINIC11</t>
  </si>
  <si>
    <t>GINIM03</t>
  </si>
  <si>
    <t>GINIM04</t>
  </si>
  <si>
    <t>GINIM05</t>
  </si>
  <si>
    <t>GINIM06</t>
  </si>
  <si>
    <t>GINIM07</t>
  </si>
  <si>
    <t>GINIM08</t>
  </si>
  <si>
    <t>GINIM09</t>
  </si>
  <si>
    <t>GINIM10</t>
  </si>
  <si>
    <t>GINIM11</t>
  </si>
  <si>
    <r>
      <t xml:space="preserve">Argentina. Ministerio de Hacienda y Finanzas Públicas. Secretaría de Hacienda (2016). Subsecretaría de Coordinacion Provincial. "Información Económica Provincial y Municipal, </t>
    </r>
    <r>
      <rPr>
        <sz val="9"/>
        <color rgb="FF2D4665"/>
        <rFont val="Times New Roman"/>
        <family val="1"/>
      </rPr>
      <t>Series Históricas." Database 17_Coeficiente_de_Gini_EPH.xlsx dated May 12, 2016. Accessed July 21, 2016, at http://www2.mecon.gov.ar/hacienda/dinrep/mapas/serieHistoricaSocioLab.php</t>
    </r>
  </si>
  <si>
    <r>
      <t xml:space="preserve">Argentina. Ministerio de Hacienda y Finanzas Públicas. Secretaría de Hacienda (2016). Subsecretaría de Coordinacion Provincial. "Información Económica Provincial y Municipal, </t>
    </r>
    <r>
      <rPr>
        <sz val="9"/>
        <color rgb="FF2D4665"/>
        <rFont val="Times New Roman"/>
        <family val="1"/>
      </rPr>
      <t>Series Históricas." Database 15_Ingreso_per capita_EPH.xlsx dated May 12, 2016. Accessed July 21, 2016, at http://www2.mecon.gov.ar/hacienda/dinrep/mapas/serieHistoricaSocioLab.php</t>
    </r>
  </si>
  <si>
    <t>GINI2014</t>
  </si>
  <si>
    <t>MECON/DINREP</t>
  </si>
  <si>
    <t>Gini index of income inequality, MECON/DINREP, 2013</t>
  </si>
  <si>
    <t>Gini index of income inequality, MECON/DINREP, 2003</t>
  </si>
  <si>
    <t>Gini index of income inequality, MECON/DINREP, 2004</t>
  </si>
  <si>
    <t>Gini index of income inequality, MECON/DINREP, 2005</t>
  </si>
  <si>
    <t>Gini index of income inequality, MECON/DINREP, 2006</t>
  </si>
  <si>
    <t>Gini index of income inequality, MECON/DINREP, 2007</t>
  </si>
  <si>
    <t>Gini index of income inequality, MECON/DINREP, 2008</t>
  </si>
  <si>
    <t>Gini index of income inequality, MECON/DINREP, 2009</t>
  </si>
  <si>
    <t>Gini index of income inequality, MECON/DINREP, 2010</t>
  </si>
  <si>
    <t>Gini index of income inequality, MECON/DINREP, 2011</t>
  </si>
  <si>
    <t>Gini index of income inequality, MECON/DINREP, 2012</t>
  </si>
  <si>
    <t>Gini index of income inequality, MECON/DINREP, 2014</t>
  </si>
  <si>
    <t>Obs from 1º sources</t>
  </si>
  <si>
    <t>Obs from 2º sources</t>
  </si>
  <si>
    <t>Obs from contin. assump.</t>
  </si>
  <si>
    <t>Empty cells</t>
  </si>
  <si>
    <r>
      <rPr>
        <sz val="9"/>
        <color rgb="FFFF0000"/>
        <rFont val="Times"/>
        <family val="1"/>
      </rPr>
      <t>Red</t>
    </r>
    <r>
      <rPr>
        <sz val="9"/>
        <color theme="1"/>
        <rFont val="Times"/>
        <family val="1"/>
      </rPr>
      <t xml:space="preserve"> data for 2000 are from this workbook, worksheet "ProvDeps%Fem1ºSources"
</t>
    </r>
    <r>
      <rPr>
        <sz val="9"/>
        <color rgb="FF008000"/>
        <rFont val="Times"/>
        <family val="1"/>
      </rPr>
      <t>Green</t>
    </r>
    <r>
      <rPr>
        <sz val="9"/>
        <color theme="1"/>
        <rFont val="Times"/>
        <family val="1"/>
      </rPr>
      <t xml:space="preserve"> data for 2000 assume that the proportion in 2000 was the same as in 1999.
</t>
    </r>
    <r>
      <rPr>
        <sz val="9"/>
        <color rgb="FF800000"/>
        <rFont val="Times"/>
        <family val="1"/>
      </rPr>
      <t>Dark red</t>
    </r>
    <r>
      <rPr>
        <sz val="9"/>
        <color theme="1"/>
        <rFont val="Times"/>
        <family val="1"/>
      </rPr>
      <t xml:space="preserve"> data for 2000 are from Source 28 (Salta) and Source 29 (Santa Fé).
</t>
    </r>
    <r>
      <rPr>
        <sz val="9"/>
        <color rgb="FF0000FF"/>
        <rFont val="Times"/>
        <family val="1"/>
      </rPr>
      <t>Blue</t>
    </r>
    <r>
      <rPr>
        <sz val="9"/>
        <color theme="1"/>
        <rFont val="Times"/>
        <family val="1"/>
      </rPr>
      <t xml:space="preserve"> data for 2000 for Catamarca, La Rioja, Mendoza, San Luis, Santiago del Estero, and Tucumán are calculated from absolute numbers in Source 8.</t>
    </r>
  </si>
  <si>
    <t>Check total</t>
  </si>
  <si>
    <t>Santiago del Estero held no provincial deputy election in 2003</t>
  </si>
  <si>
    <t>San Juan figure calculated from from http://www.legislaturasanjuan.gob.ar/servicios/algo-de-historia/composicion-de-la-camara-por-periodo/item/3453-nomina-de-diputados-electos-periodo-1987-1991 accessed August 5, 2016. Tierra del Fuego figure from http://elecciones.gob.ar/30/gobiernosenlasprovincias.html#/0/79 accessed August 5, 2016.</t>
  </si>
  <si>
    <t>La Rioja from http://elecciones.gob.ar/30/gobiernosenlasprovincias.html#/0/43 accessed 5 Aug 2016</t>
  </si>
  <si>
    <t>Santiago del Estero from http://elecciones.gob.ar/30/gobiernosenlasprovincias.html#/0/76 accessed August 5, 2016</t>
  </si>
  <si>
    <t>Capital Federal held no provincial deputy election in 2001. Catamarca from http://elecciones.gob.ar/30/gobiernosenlasprovincias.html#/0/11. Salta from http://elecciones.gob.ar/30/gobiernosenlasprovincias.html#/0/60 accessed August 5, 2016. Santiago del Estero from http://elecciones.gob.ar/30/gobiernosenlasprovincias.html#/0/76 accessed August 5, 2016.</t>
  </si>
  <si>
    <t>San Luis from http://elecciones.gob.ar/30/gobiernosenlasprovincias.html#/0/68 accessed August 5, 2016.</t>
  </si>
  <si>
    <t>San Juan figure from http://www.legislaturasanjuan.gob.ar/servicios/algo-de-historia/composicion-de-la-camara-por-periodo/item/3453-nomina-de-diputados-electos-periodo-1987-1991 accessed August 5, 2016.</t>
  </si>
  <si>
    <t>fullrenw</t>
  </si>
  <si>
    <t>La Rioja from http://andigital.com.ar/politica/item/30517-pormenorizado-an-aacute-lisis-de-los-resultados-distrito-por-distrito accessed August 7, 2016</t>
  </si>
  <si>
    <t>Salta from http://elecciones.gob.ar/30/gobiernosenlasprovincias.html#/0/62 accessed August 5, 2016. San Luis from http://elecciones.gob.ar/30/gobiernosenlasprovincias.html#/0/70 accessed August 5, 2016. Santiago del Estero held no provincial deputy election in 2011. La Rioja: oficialismo kept at least 17 of the 19 seats up for election. http://opisantacruz.com.ar/home/2011/05/31/analisis-de-las-elecciones-de-chubut-y-la-rioja/11938 accessed August 6, 2016.</t>
  </si>
  <si>
    <t>Salta from http://elecciones.gob.ar/30/gobiernosenlasprovincias.html#/0/62 accessed August 5, 2016. San Luis from http://elecciones.gob.ar/30/gobiernosenlasprovincias.html#/0/70 accessed August 5, 2016. La Rioja: oficialismo kept at least 17 of the 19 seats up for election. http://opisantacruz.com.ar/home/2011/05/31/analisis-de-las-elecciones-de-chubut-y-la-rioja/11938 accessed August 6, 2016. Santiago del Estero held no provincial deputy election in 2011.</t>
  </si>
  <si>
    <t>La Rioja from http://elecciones.gob.ar/30/gobiernosenlasprovincias.html#/0/43</t>
  </si>
  <si>
    <t>La Rioja: oficialismo kept at least 17 of the 19 seats up for election. http://opisantacruz.com.ar/home/2011/05/31/analisis-de-las-elecciones-de-chubut-y-la-rioja/11938 accessed August 6, 2016</t>
  </si>
  <si>
    <t>Salta estimated from graph in Mabel Panozzo, LEY DE LEMAS, PARTIDOS POLÍTICOS Y GOBERNABILIDAD, http://www.portaldesalta.gov.ar/libros/lemas.htm#_ftn2 accessed 6 Aug 2016</t>
  </si>
  <si>
    <t>Salta: Núñez Burgos, Federico, and Mabel Panozzo. "Actores e instituciones en la reforma electoral de Salta." Trabajo presentado en el 6to Congreso Nacional de Ciencia Política de la
Sociedad Argentina de Análisis Político, del 5 al 8 de Noviembre de 2003, p. 12. Accessed August 6, 2016, at http://www.saap.org.ar/esp/docs-congresos/congresos-saap/VI/areas/02/nunez-burgos-panozzo.pdf</t>
  </si>
  <si>
    <t>Capital Federal held no provincial deputy election in 1995. Salta from Núñez Burgos, Federico, and Mabel Panozzo. "Actores e instituciones en la reforma electoral de Salta." Trabajo presentado en el 6to Congreso Nacional de Ciencia Política de la Sociedad Argentina de Análisis Político, del 5 al 8 de Noviembre de 2003, p. 12. Accessed August 6, 2016, at http://www.saap.org.ar/esp/docs-congresos/congresos-saap/VI/areas/02/nunez-burgos-panozzo.pdf</t>
  </si>
  <si>
    <t>Buenos Aires and Santiago del Estero from http://elecciones.gob.ar/30/gobiernosenlasprovincias.html#/0/3 accessed 5 August 2016. Salta from Núñez Burgos, Federico, and Mabel Panozzo. "Actores e instituciones en la reforma electoral de Salta." Trabajo presentado en el 6to Congreso Nacional de Ciencia Política de la Sociedad Argentina de Análisis Político, del 5 al 8 de Noviembre de 2003, p. 12. Accessed August 6, 2016, at http://www.saap.org.ar/esp/docs-congresos/congresos-saap/VI/areas/02/nunez-burgos-panozzo.pdf</t>
  </si>
  <si>
    <t>Compiled by James W. McGuire, Department of Government, Wesleyan University, Middletown, Connecticut, USA. Contact: jmcguire@ wesleyan.edu. Last updated August 6, 2016.</t>
  </si>
  <si>
    <t>Tow's figure for turnout (96.87) implausible. Problem is the eligible voters figure provided: 460,839, compared to 576854 in 1997 and 625865 in 2001. Hence, the 1997 and 2001 eligible voters figures were averaged (601359.5) and used as the denominator for the turnout quotient, with the numerator being the number of total votes (407,768).</t>
  </si>
  <si>
    <t>Tow did not give a turnout figure for Misiones in 1993 because there was no info on blank or anulled ballots; only on positive votes and eligible voters. Hence the turnout figure was calculated by averaging the 1991 and 1995 figures for blank ballots, and likewise for annulled ballots. Those averages were summed (14,607) and added to Tow's figure for positive votes (314,647). That sum (329,254) was then divided by the number of eligible voters in 1993 (454,200) and multiplied by 100 to get the percentage.</t>
  </si>
  <si>
    <t>Argentina. Ministerio de Salud (2007). Estadísticas vitales: Información basica - 2006. Dirección de Estadísticas e Información de Salud. Serie 5, Número 50. Diciembre. Buenos Aires: Ministerio de Salud, pp. 43-44. Accessed June 30, 2008, at http://www.deis.gov.ar/</t>
  </si>
  <si>
    <t>Date on which placement mandate adopted</t>
  </si>
  <si>
    <t>placemdatebarnes</t>
  </si>
  <si>
    <t>Página Doce 2011</t>
  </si>
  <si>
    <t>Placement Mandate</t>
  </si>
  <si>
    <t>Residential electricity consumption billed in KWh per capita</t>
  </si>
  <si>
    <t>Income poverty in the province's major metropolitan area(s), annual</t>
  </si>
  <si>
    <t>Income poverty in the province's major metropolitan area(s), semi-annual</t>
  </si>
  <si>
    <t>Geography</t>
    <phoneticPr fontId="1"/>
  </si>
  <si>
    <t>Centroid latitude</t>
  </si>
  <si>
    <t>Centroid longitude</t>
  </si>
  <si>
    <t>Latitude of province centroid</t>
  </si>
  <si>
    <t>Longitude of province centroid</t>
  </si>
  <si>
    <t>centlat</t>
  </si>
  <si>
    <t>centlong</t>
  </si>
  <si>
    <t>Calculated in Stata from ARG_adm1 shapefiles  downloaded August 12, 2017, from http://www.diva-gis.org/datadown
The following Stata do file was used to do the calculation:
shp2dta using ARG_adm1, data("argadm1_data")  coor("argadm1_coordinates") gencentroids(stub) genid(center)
use argadm1_data, clear
describe
list NAME_1 ID_1 x_stub y_stub</t>
  </si>
  <si>
    <t>Last updated September 6,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</si>
</sst>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0.0"/>
    <numFmt numFmtId="167" formatCode="0.000"/>
    <numFmt numFmtId="168" formatCode="d\-mmm\-yyyy"/>
    <numFmt numFmtId="169" formatCode="mm/dd/yy;@"/>
    <numFmt numFmtId="170" formatCode="0.0%"/>
    <numFmt numFmtId="171" formatCode="0.0000"/>
    <numFmt numFmtId="172" formatCode="_(* #,##0_);_(* \(#,##0\);_(* &quot;-&quot;??_);_(@_)"/>
    <numFmt numFmtId="173" formatCode="0_);\(0\)"/>
  </numFmts>
  <fonts count="45" x14ac:knownFonts="1">
    <font>
      <sz val="10"/>
      <name val="Geneva"/>
    </font>
    <font>
      <sz val="8"/>
      <name val="Geneva"/>
      <family val="2"/>
    </font>
    <font>
      <sz val="9"/>
      <name val="Times"/>
      <family val="1"/>
    </font>
    <font>
      <sz val="9"/>
      <color indexed="8"/>
      <name val="Times"/>
      <family val="1"/>
    </font>
    <font>
      <sz val="12"/>
      <name val="Times"/>
      <family val="1"/>
    </font>
    <font>
      <sz val="8"/>
      <name val="Verdana"/>
      <family val="2"/>
    </font>
    <font>
      <sz val="9"/>
      <color indexed="21"/>
      <name val="Times"/>
      <family val="1"/>
    </font>
    <font>
      <sz val="9"/>
      <color indexed="8"/>
      <name val="Times New Roman"/>
      <family val="1"/>
    </font>
    <font>
      <i/>
      <sz val="9"/>
      <color indexed="8"/>
      <name val="Times New Roman"/>
      <family val="1"/>
    </font>
    <font>
      <sz val="9"/>
      <name val="Times New Roman"/>
      <family val="1"/>
    </font>
    <font>
      <b/>
      <sz val="9"/>
      <name val="Times"/>
      <family val="1"/>
    </font>
    <font>
      <u/>
      <sz val="9"/>
      <name val="Times New Roman"/>
      <family val="1"/>
    </font>
    <font>
      <sz val="10"/>
      <name val="Arial"/>
      <family val="2"/>
    </font>
    <font>
      <sz val="10"/>
      <name val="Verdana"/>
      <family val="2"/>
    </font>
    <font>
      <u/>
      <sz val="10"/>
      <color theme="10"/>
      <name val="Geneva"/>
      <family val="2"/>
    </font>
    <font>
      <u/>
      <sz val="10"/>
      <color theme="11"/>
      <name val="Geneva"/>
      <family val="2"/>
    </font>
    <font>
      <sz val="9"/>
      <color theme="1"/>
      <name val="Times"/>
      <family val="1"/>
    </font>
    <font>
      <sz val="9"/>
      <color theme="1"/>
      <name val="Times New Roman"/>
      <family val="1"/>
    </font>
    <font>
      <sz val="9"/>
      <color rgb="FF000000"/>
      <name val="Times"/>
      <family val="1"/>
    </font>
    <font>
      <i/>
      <sz val="9"/>
      <name val="Times"/>
      <family val="1"/>
    </font>
    <font>
      <sz val="10"/>
      <name val="Geneva"/>
      <family val="2"/>
    </font>
    <font>
      <u/>
      <sz val="9"/>
      <color theme="10"/>
      <name val="Times"/>
      <family val="1"/>
    </font>
    <font>
      <sz val="9"/>
      <color rgb="FFFF0000"/>
      <name val="Times"/>
      <family val="1"/>
    </font>
    <font>
      <sz val="9"/>
      <color rgb="FF008000"/>
      <name val="Times"/>
      <family val="1"/>
    </font>
    <font>
      <sz val="9"/>
      <color rgb="FF800000"/>
      <name val="Times"/>
      <family val="1"/>
    </font>
    <font>
      <sz val="9"/>
      <color rgb="FF660066"/>
      <name val="Times"/>
      <family val="1"/>
    </font>
    <font>
      <sz val="9"/>
      <color theme="8" tint="-0.249977111117893"/>
      <name val="Times"/>
      <family val="1"/>
    </font>
    <font>
      <sz val="9"/>
      <color rgb="FF0000FF"/>
      <name val="Times"/>
      <family val="1"/>
    </font>
    <font>
      <i/>
      <sz val="9"/>
      <color theme="1"/>
      <name val="Times"/>
      <family val="1"/>
    </font>
    <font>
      <sz val="9"/>
      <color theme="8" tint="0.39997558519241921"/>
      <name val="Times"/>
      <family val="1"/>
    </font>
    <font>
      <b/>
      <sz val="9"/>
      <color theme="1"/>
      <name val="Times"/>
      <family val="1"/>
    </font>
    <font>
      <i/>
      <sz val="9"/>
      <color rgb="FFFF0000"/>
      <name val="Times"/>
      <family val="1"/>
    </font>
    <font>
      <sz val="9"/>
      <color theme="8"/>
      <name val="Times"/>
      <family val="1"/>
    </font>
    <font>
      <b/>
      <sz val="9"/>
      <color indexed="8"/>
      <name val="Times"/>
      <family val="1"/>
    </font>
    <font>
      <sz val="10"/>
      <name val="Times New Roman"/>
      <family val="1"/>
    </font>
    <font>
      <u/>
      <sz val="9"/>
      <color theme="10"/>
      <name val="Geneva"/>
      <family val="2"/>
    </font>
    <font>
      <u/>
      <sz val="9"/>
      <color theme="10"/>
      <name val="Times New Roman"/>
      <family val="1"/>
    </font>
    <font>
      <sz val="9"/>
      <color theme="1"/>
      <name val="Geneva"/>
      <family val="2"/>
    </font>
    <font>
      <sz val="9"/>
      <name val="Geneva"/>
      <family val="2"/>
    </font>
    <font>
      <b/>
      <sz val="9"/>
      <name val="Geneva"/>
      <family val="2"/>
    </font>
    <font>
      <sz val="10"/>
      <name val="Times"/>
      <family val="1"/>
    </font>
    <font>
      <sz val="9"/>
      <color rgb="FF2D4665"/>
      <name val="Times New Roman"/>
      <family val="1"/>
    </font>
    <font>
      <sz val="10"/>
      <color rgb="FFFF0000"/>
      <name val="Geneva"/>
      <family val="2"/>
    </font>
    <font>
      <sz val="10"/>
      <color rgb="FF0000FF"/>
      <name val="Geneva"/>
      <family val="2"/>
    </font>
    <font>
      <b/>
      <sz val="9"/>
      <color rgb="FFFF0000"/>
      <name val="Times"/>
      <family val="1"/>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0.249977111117893"/>
        <bgColor indexed="64"/>
      </patternFill>
    </fill>
    <fill>
      <patternFill patternType="solid">
        <fgColor rgb="FFBFBFBF"/>
        <bgColor rgb="FF000000"/>
      </patternFill>
    </fill>
  </fills>
  <borders count="1">
    <border>
      <left/>
      <right/>
      <top/>
      <bottom/>
      <diagonal/>
    </border>
  </borders>
  <cellStyleXfs count="1821">
    <xf numFmtId="0" fontId="0" fillId="0" borderId="0"/>
    <xf numFmtId="0" fontId="12"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2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54">
    <xf numFmtId="0" fontId="0" fillId="0" borderId="0" xfId="0"/>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NumberFormat="1" applyFont="1" applyFill="1" applyBorder="1" applyAlignment="1">
      <alignment vertical="center"/>
    </xf>
    <xf numFmtId="165" fontId="2" fillId="0" borderId="0" xfId="0" applyNumberFormat="1" applyFont="1" applyFill="1" applyBorder="1" applyAlignment="1">
      <alignment vertical="center"/>
    </xf>
    <xf numFmtId="165" fontId="2" fillId="0" borderId="0" xfId="0" applyNumberFormat="1" applyFont="1" applyBorder="1" applyAlignment="1">
      <alignment horizontal="right" vertical="center" wrapText="1"/>
    </xf>
    <xf numFmtId="0" fontId="2" fillId="0" borderId="0" xfId="0" applyFont="1"/>
    <xf numFmtId="0" fontId="2" fillId="0" borderId="0" xfId="0" applyNumberFormat="1" applyFont="1" applyFill="1" applyBorder="1" applyAlignment="1">
      <alignment horizontal="center" vertical="top" wrapText="1"/>
    </xf>
    <xf numFmtId="1" fontId="2" fillId="0" borderId="0" xfId="0" applyNumberFormat="1" applyFont="1" applyAlignment="1">
      <alignment horizontal="center" vertical="top" wrapText="1"/>
    </xf>
    <xf numFmtId="0" fontId="2" fillId="0" borderId="0" xfId="0" applyFont="1" applyAlignment="1">
      <alignment horizontal="center" vertical="top"/>
    </xf>
    <xf numFmtId="1" fontId="2" fillId="0" borderId="0" xfId="0" applyNumberFormat="1" applyFont="1" applyAlignment="1">
      <alignment horizontal="center" vertical="top"/>
    </xf>
    <xf numFmtId="0" fontId="2" fillId="0" borderId="0" xfId="0" applyFont="1" applyAlignment="1">
      <alignment vertical="center"/>
    </xf>
    <xf numFmtId="3" fontId="2" fillId="0" borderId="0" xfId="0" applyNumberFormat="1" applyFont="1" applyBorder="1" applyAlignment="1">
      <alignment vertical="center"/>
    </xf>
    <xf numFmtId="3" fontId="2" fillId="0" borderId="0" xfId="0" quotePrefix="1" applyNumberFormat="1" applyFont="1" applyBorder="1" applyAlignment="1">
      <alignment horizontal="right" vertical="center"/>
    </xf>
    <xf numFmtId="0" fontId="2" fillId="0" borderId="0" xfId="0" applyFont="1" applyBorder="1" applyAlignment="1">
      <alignment vertical="center"/>
    </xf>
    <xf numFmtId="3" fontId="2" fillId="0" borderId="0" xfId="0" applyNumberFormat="1" applyFont="1" applyBorder="1" applyAlignment="1">
      <alignment horizontal="center" vertical="top" wrapText="1"/>
    </xf>
    <xf numFmtId="0" fontId="2" fillId="0" borderId="0" xfId="0" applyFont="1" applyAlignment="1">
      <alignment vertical="top" wrapText="1"/>
    </xf>
    <xf numFmtId="0" fontId="4" fillId="0" borderId="0" xfId="0" applyFont="1" applyAlignment="1">
      <alignment vertical="top" wrapText="1"/>
    </xf>
    <xf numFmtId="0" fontId="2" fillId="0" borderId="0" xfId="0" applyFont="1" applyFill="1" applyBorder="1" applyAlignment="1">
      <alignment horizontal="center" vertical="top" wrapText="1"/>
    </xf>
    <xf numFmtId="2" fontId="2" fillId="0" borderId="0" xfId="0" applyNumberFormat="1" applyFont="1" applyAlignment="1">
      <alignment horizontal="center" vertical="top" wrapText="1"/>
    </xf>
    <xf numFmtId="165" fontId="2" fillId="0" borderId="0" xfId="0" applyNumberFormat="1" applyFont="1" applyAlignment="1">
      <alignment horizontal="center" vertical="top" wrapText="1"/>
    </xf>
    <xf numFmtId="0" fontId="2" fillId="0" borderId="0" xfId="0" applyFont="1" applyFill="1" applyBorder="1" applyAlignment="1">
      <alignment horizontal="center" vertical="top"/>
    </xf>
    <xf numFmtId="2" fontId="2" fillId="0" borderId="0" xfId="0" applyNumberFormat="1" applyFont="1" applyAlignment="1">
      <alignment horizontal="center" vertical="top"/>
    </xf>
    <xf numFmtId="165" fontId="2" fillId="0" borderId="0" xfId="0" applyNumberFormat="1" applyFont="1" applyAlignment="1">
      <alignment horizontal="center" vertical="top"/>
    </xf>
    <xf numFmtId="3" fontId="2" fillId="0" borderId="0" xfId="0" applyNumberFormat="1" applyFont="1" applyAlignment="1">
      <alignment vertical="center"/>
    </xf>
    <xf numFmtId="166" fontId="2" fillId="0" borderId="0" xfId="0" applyNumberFormat="1" applyFont="1" applyFill="1" applyBorder="1" applyAlignment="1" applyProtection="1">
      <alignment horizontal="right" vertical="center"/>
    </xf>
    <xf numFmtId="166" fontId="2" fillId="0" borderId="0" xfId="0" applyNumberFormat="1" applyFont="1" applyAlignment="1">
      <alignment vertical="top" wrapText="1"/>
    </xf>
    <xf numFmtId="2" fontId="2" fillId="0" borderId="0" xfId="0" applyNumberFormat="1" applyFont="1" applyAlignment="1">
      <alignment vertical="center"/>
    </xf>
    <xf numFmtId="165" fontId="2" fillId="0" borderId="0" xfId="0" applyNumberFormat="1" applyFont="1" applyFill="1" applyBorder="1" applyAlignment="1" applyProtection="1">
      <alignment horizontal="right" vertical="center"/>
    </xf>
    <xf numFmtId="3" fontId="2" fillId="0" borderId="0" xfId="0" applyNumberFormat="1" applyFont="1" applyAlignment="1">
      <alignment vertical="top" wrapText="1"/>
    </xf>
    <xf numFmtId="165" fontId="2" fillId="0" borderId="0" xfId="0" applyNumberFormat="1" applyFont="1" applyAlignment="1">
      <alignment vertical="top" wrapText="1"/>
    </xf>
    <xf numFmtId="165" fontId="4" fillId="0" borderId="0" xfId="0" applyNumberFormat="1" applyFont="1" applyAlignment="1">
      <alignment vertical="top" wrapText="1"/>
    </xf>
    <xf numFmtId="0" fontId="2" fillId="0" borderId="0" xfId="0" applyFont="1" applyFill="1" applyBorder="1" applyAlignment="1" applyProtection="1">
      <alignment horizontal="center" vertical="top" wrapText="1"/>
    </xf>
    <xf numFmtId="49" fontId="2" fillId="0" borderId="0" xfId="0" applyNumberFormat="1" applyFont="1" applyBorder="1" applyAlignment="1">
      <alignment horizontal="center" vertical="top"/>
    </xf>
    <xf numFmtId="49" fontId="2" fillId="0" borderId="0" xfId="0" applyNumberFormat="1" applyFont="1" applyFill="1" applyBorder="1" applyAlignment="1">
      <alignment horizontal="center" vertical="top"/>
    </xf>
    <xf numFmtId="165" fontId="2" fillId="0" borderId="0" xfId="0" applyNumberFormat="1" applyFont="1" applyBorder="1" applyAlignment="1">
      <alignment vertical="top" wrapText="1"/>
    </xf>
    <xf numFmtId="167" fontId="2" fillId="0" borderId="0" xfId="0" applyNumberFormat="1" applyFont="1" applyAlignment="1">
      <alignment horizontal="center" vertical="top"/>
    </xf>
    <xf numFmtId="167" fontId="2" fillId="0" borderId="0" xfId="0" applyNumberFormat="1" applyFont="1" applyAlignment="1">
      <alignment horizontal="center" vertical="top" wrapText="1"/>
    </xf>
    <xf numFmtId="167" fontId="2" fillId="0" borderId="0" xfId="0" applyNumberFormat="1" applyFont="1" applyAlignment="1">
      <alignment vertical="top" wrapText="1"/>
    </xf>
    <xf numFmtId="167" fontId="2" fillId="0" borderId="0" xfId="0" applyNumberFormat="1" applyFont="1" applyAlignment="1">
      <alignment vertical="center"/>
    </xf>
    <xf numFmtId="167" fontId="2" fillId="0" borderId="0" xfId="0" applyNumberFormat="1" applyFont="1" applyFill="1" applyBorder="1" applyAlignment="1">
      <alignment horizontal="center" vertical="top" wrapText="1"/>
    </xf>
    <xf numFmtId="167" fontId="2" fillId="0" borderId="0" xfId="0" applyNumberFormat="1" applyFont="1" applyFill="1" applyBorder="1" applyAlignment="1">
      <alignment vertical="center"/>
    </xf>
    <xf numFmtId="49" fontId="2" fillId="0" borderId="0" xfId="0" applyNumberFormat="1" applyFont="1" applyAlignment="1">
      <alignment horizontal="center" vertical="top" wrapText="1"/>
    </xf>
    <xf numFmtId="49" fontId="2" fillId="0" borderId="0" xfId="0" applyNumberFormat="1" applyFont="1" applyBorder="1" applyAlignment="1">
      <alignment horizontal="center" vertical="top" wrapText="1"/>
    </xf>
    <xf numFmtId="49" fontId="2" fillId="0" borderId="0" xfId="0" applyNumberFormat="1" applyFont="1" applyFill="1" applyBorder="1" applyAlignment="1">
      <alignment horizontal="center" vertical="top" wrapText="1"/>
    </xf>
    <xf numFmtId="2" fontId="2" fillId="0" borderId="0" xfId="0" applyNumberFormat="1" applyFont="1" applyAlignment="1">
      <alignment vertical="top" wrapText="1"/>
    </xf>
    <xf numFmtId="0" fontId="2" fillId="0" borderId="0" xfId="0" applyFont="1" applyFill="1"/>
    <xf numFmtId="165" fontId="2" fillId="0" borderId="0" xfId="0" applyNumberFormat="1" applyFont="1" applyFill="1"/>
    <xf numFmtId="165" fontId="3" fillId="0" borderId="0" xfId="0" applyNumberFormat="1" applyFont="1" applyFill="1" applyAlignment="1">
      <alignment horizontal="right"/>
    </xf>
    <xf numFmtId="0" fontId="3" fillId="0" borderId="0" xfId="0" applyFont="1"/>
    <xf numFmtId="165" fontId="2" fillId="0" borderId="0" xfId="0" applyNumberFormat="1" applyFont="1" applyAlignment="1">
      <alignment horizontal="right"/>
    </xf>
    <xf numFmtId="165" fontId="3" fillId="0" borderId="0" xfId="0" applyNumberFormat="1" applyFont="1" applyFill="1"/>
    <xf numFmtId="165" fontId="2" fillId="0" borderId="0" xfId="0" applyNumberFormat="1" applyFont="1" applyFill="1" applyAlignment="1">
      <alignment horizontal="right"/>
    </xf>
    <xf numFmtId="0" fontId="3" fillId="0" borderId="0" xfId="0" applyFont="1" applyFill="1"/>
    <xf numFmtId="165" fontId="3" fillId="0" borderId="0" xfId="0" applyNumberFormat="1" applyFont="1"/>
    <xf numFmtId="3" fontId="2" fillId="0" borderId="0" xfId="0" applyNumberFormat="1" applyFont="1"/>
    <xf numFmtId="3" fontId="2" fillId="3" borderId="0" xfId="0" applyNumberFormat="1" applyFont="1" applyFill="1" applyBorder="1"/>
    <xf numFmtId="2" fontId="2" fillId="0" borderId="0" xfId="0" applyNumberFormat="1" applyFont="1" applyAlignment="1">
      <alignment horizontal="center"/>
    </xf>
    <xf numFmtId="49" fontId="2" fillId="0" borderId="0" xfId="0" applyNumberFormat="1" applyFont="1" applyAlignment="1">
      <alignment vertical="center"/>
    </xf>
    <xf numFmtId="2" fontId="2" fillId="0" borderId="0" xfId="0" applyNumberFormat="1" applyFont="1"/>
    <xf numFmtId="0" fontId="7" fillId="0" borderId="0" xfId="0" applyFont="1" applyAlignment="1">
      <alignment vertical="top" wrapText="1"/>
    </xf>
    <xf numFmtId="168" fontId="2" fillId="0" borderId="0" xfId="0" applyNumberFormat="1" applyFont="1" applyAlignment="1">
      <alignment horizontal="center" vertical="top" wrapText="1"/>
    </xf>
    <xf numFmtId="168" fontId="2" fillId="0" borderId="0" xfId="0" applyNumberFormat="1" applyFont="1" applyAlignment="1">
      <alignment horizontal="center" vertical="top"/>
    </xf>
    <xf numFmtId="168" fontId="7" fillId="0" borderId="0" xfId="0" applyNumberFormat="1" applyFont="1" applyAlignment="1">
      <alignment vertical="top" wrapText="1"/>
    </xf>
    <xf numFmtId="0" fontId="9" fillId="0" borderId="0" xfId="0" applyFont="1" applyBorder="1" applyAlignment="1">
      <alignment vertical="top" wrapText="1"/>
    </xf>
    <xf numFmtId="165" fontId="9" fillId="0" borderId="0" xfId="0" applyNumberFormat="1" applyFont="1" applyBorder="1" applyAlignment="1">
      <alignment vertical="top" wrapText="1"/>
    </xf>
    <xf numFmtId="165" fontId="9" fillId="0" borderId="0" xfId="0" applyNumberFormat="1" applyFont="1" applyAlignment="1">
      <alignment vertical="top" wrapText="1"/>
    </xf>
    <xf numFmtId="168" fontId="2" fillId="0" borderId="0" xfId="0" applyNumberFormat="1" applyFont="1" applyAlignment="1">
      <alignment vertical="center"/>
    </xf>
    <xf numFmtId="15" fontId="2" fillId="0" borderId="0" xfId="0" applyNumberFormat="1" applyFont="1" applyAlignment="1">
      <alignment vertical="center"/>
    </xf>
    <xf numFmtId="168" fontId="10" fillId="0" borderId="0" xfId="0" applyNumberFormat="1" applyFont="1" applyAlignment="1">
      <alignment vertical="center"/>
    </xf>
    <xf numFmtId="2" fontId="2" fillId="0" borderId="0" xfId="0" applyNumberFormat="1" applyFont="1" applyBorder="1" applyAlignment="1">
      <alignment vertical="top" wrapText="1"/>
    </xf>
    <xf numFmtId="49" fontId="2" fillId="0" borderId="0" xfId="0" applyNumberFormat="1" applyFont="1" applyAlignment="1">
      <alignment horizontal="center" vertical="top"/>
    </xf>
    <xf numFmtId="165" fontId="2" fillId="0" borderId="0" xfId="0" applyNumberFormat="1" applyFont="1" applyAlignment="1">
      <alignment vertical="center"/>
    </xf>
    <xf numFmtId="165" fontId="2" fillId="0" borderId="0" xfId="0" applyNumberFormat="1" applyFont="1"/>
    <xf numFmtId="1" fontId="2" fillId="0" borderId="0" xfId="0" applyNumberFormat="1" applyFont="1" applyFill="1" applyBorder="1" applyAlignment="1">
      <alignment vertical="center"/>
    </xf>
    <xf numFmtId="1" fontId="2" fillId="2" borderId="0" xfId="0" applyNumberFormat="1" applyFont="1" applyFill="1" applyBorder="1" applyAlignment="1">
      <alignment horizontal="right"/>
    </xf>
    <xf numFmtId="1" fontId="2" fillId="3" borderId="0" xfId="0" applyNumberFormat="1" applyFont="1" applyFill="1" applyBorder="1" applyAlignment="1">
      <alignment vertical="top" wrapText="1"/>
    </xf>
    <xf numFmtId="1" fontId="2" fillId="0" borderId="0" xfId="0" applyNumberFormat="1" applyFont="1" applyAlignment="1">
      <alignment vertical="top" wrapText="1"/>
    </xf>
    <xf numFmtId="1" fontId="2" fillId="0" borderId="0" xfId="0" applyNumberFormat="1" applyFont="1" applyBorder="1"/>
    <xf numFmtId="1" fontId="2" fillId="0" borderId="0" xfId="0" applyNumberFormat="1" applyFont="1" applyBorder="1" applyAlignment="1">
      <alignment vertical="top" wrapText="1"/>
    </xf>
    <xf numFmtId="1" fontId="2" fillId="0" borderId="0" xfId="0" applyNumberFormat="1" applyFont="1" applyAlignment="1">
      <alignment vertical="center"/>
    </xf>
    <xf numFmtId="1" fontId="2" fillId="2" borderId="0" xfId="0" applyNumberFormat="1" applyFont="1" applyFill="1" applyBorder="1" applyAlignment="1">
      <alignment vertical="top" wrapText="1"/>
    </xf>
    <xf numFmtId="1" fontId="2" fillId="0" borderId="0" xfId="0" applyNumberFormat="1" applyFont="1" applyFill="1" applyBorder="1"/>
    <xf numFmtId="1" fontId="2" fillId="0" borderId="0" xfId="0" applyNumberFormat="1" applyFont="1"/>
    <xf numFmtId="165" fontId="2" fillId="0" borderId="0" xfId="0" applyNumberFormat="1" applyFont="1" applyFill="1" applyBorder="1" applyAlignment="1">
      <alignment horizontal="center" vertical="top" wrapText="1"/>
    </xf>
    <xf numFmtId="2" fontId="2" fillId="0" borderId="0" xfId="0" applyNumberFormat="1" applyFont="1" applyBorder="1" applyAlignment="1">
      <alignment horizontal="center" vertical="top" wrapText="1"/>
    </xf>
    <xf numFmtId="2" fontId="2" fillId="0" borderId="0" xfId="0" applyNumberFormat="1" applyFont="1" applyBorder="1" applyAlignment="1">
      <alignment horizontal="center" vertical="center" wrapText="1"/>
    </xf>
    <xf numFmtId="2" fontId="2" fillId="0" borderId="0" xfId="0" applyNumberFormat="1" applyFont="1" applyFill="1" applyBorder="1" applyAlignment="1">
      <alignment vertical="center" wrapText="1"/>
    </xf>
    <xf numFmtId="2" fontId="10" fillId="0" borderId="0" xfId="0" applyNumberFormat="1" applyFont="1" applyAlignment="1">
      <alignment vertical="center"/>
    </xf>
    <xf numFmtId="2" fontId="10" fillId="0" borderId="0" xfId="0" applyNumberFormat="1" applyFont="1" applyFill="1" applyBorder="1" applyAlignment="1">
      <alignment vertical="center" wrapText="1"/>
    </xf>
    <xf numFmtId="0" fontId="0" fillId="0" borderId="0" xfId="0" applyAlignment="1">
      <alignment vertical="center"/>
    </xf>
    <xf numFmtId="0" fontId="13" fillId="0" borderId="0" xfId="0" applyFont="1" applyAlignment="1">
      <alignment vertical="center"/>
    </xf>
    <xf numFmtId="2" fontId="2" fillId="0" borderId="0" xfId="0" applyNumberFormat="1" applyFont="1" applyFill="1" applyBorder="1" applyAlignment="1">
      <alignment horizontal="center" vertical="top" wrapText="1"/>
    </xf>
    <xf numFmtId="2" fontId="2" fillId="0" borderId="0" xfId="0" applyNumberFormat="1" applyFont="1" applyFill="1" applyBorder="1" applyAlignment="1">
      <alignment horizontal="center" vertical="center" wrapText="1"/>
    </xf>
    <xf numFmtId="169" fontId="2" fillId="0" borderId="0" xfId="0" applyNumberFormat="1" applyFont="1" applyAlignment="1">
      <alignment vertical="center"/>
    </xf>
    <xf numFmtId="0" fontId="2" fillId="0" borderId="0" xfId="0" applyNumberFormat="1" applyFont="1" applyAlignment="1">
      <alignment horizontal="center" vertical="center"/>
    </xf>
    <xf numFmtId="0" fontId="16" fillId="0" borderId="0" xfId="0" applyFont="1"/>
    <xf numFmtId="1" fontId="16" fillId="0" borderId="0" xfId="0" applyNumberFormat="1" applyFont="1"/>
    <xf numFmtId="0" fontId="2" fillId="0" borderId="0" xfId="150" applyFont="1" applyAlignment="1">
      <alignment horizontal="center" vertical="top" wrapText="1"/>
    </xf>
    <xf numFmtId="165" fontId="16" fillId="0" borderId="0" xfId="0" applyNumberFormat="1" applyFont="1"/>
    <xf numFmtId="0" fontId="7" fillId="0" borderId="0" xfId="0" applyFont="1" applyAlignment="1">
      <alignment horizontal="center" vertical="top" wrapText="1"/>
    </xf>
    <xf numFmtId="49" fontId="2" fillId="0" borderId="0" xfId="1" applyNumberFormat="1" applyFont="1" applyFill="1" applyBorder="1" applyAlignment="1">
      <alignment horizontal="center" vertical="top"/>
    </xf>
    <xf numFmtId="2" fontId="17" fillId="0" borderId="0" xfId="0" applyNumberFormat="1" applyFont="1"/>
    <xf numFmtId="1" fontId="2" fillId="0" borderId="0" xfId="0" applyNumberFormat="1" applyFont="1" applyAlignment="1">
      <alignment horizontal="right" vertical="center"/>
    </xf>
    <xf numFmtId="0" fontId="16" fillId="0" borderId="0" xfId="0" applyFont="1" applyAlignment="1">
      <alignment horizontal="center" vertical="top" wrapText="1"/>
    </xf>
    <xf numFmtId="0" fontId="16" fillId="0" borderId="0" xfId="0" applyFont="1" applyAlignment="1">
      <alignment horizontal="center" vertical="center" wrapText="1"/>
    </xf>
    <xf numFmtId="0" fontId="18" fillId="0" borderId="0" xfId="0" applyFont="1" applyFill="1"/>
    <xf numFmtId="2" fontId="16" fillId="0" borderId="0" xfId="0" applyNumberFormat="1" applyFont="1"/>
    <xf numFmtId="16" fontId="16" fillId="0" borderId="0" xfId="0" applyNumberFormat="1" applyFont="1"/>
    <xf numFmtId="0" fontId="16" fillId="0" borderId="0" xfId="0" applyFont="1" applyAlignment="1">
      <alignment horizontal="left" vertical="center"/>
    </xf>
    <xf numFmtId="1" fontId="18" fillId="0" borderId="0" xfId="0" applyNumberFormat="1" applyFont="1" applyFill="1"/>
    <xf numFmtId="2" fontId="16" fillId="0" borderId="0" xfId="0" applyNumberFormat="1" applyFont="1" applyAlignment="1"/>
    <xf numFmtId="2" fontId="16" fillId="0" borderId="0" xfId="0" applyNumberFormat="1" applyFont="1" applyAlignment="1">
      <alignment horizontal="right"/>
    </xf>
    <xf numFmtId="16" fontId="16" fillId="0" borderId="0" xfId="0" applyNumberFormat="1" applyFont="1" applyAlignment="1">
      <alignment horizontal="right"/>
    </xf>
    <xf numFmtId="0" fontId="16" fillId="0" borderId="0" xfId="0" applyFont="1" applyAlignment="1">
      <alignment horizontal="right"/>
    </xf>
    <xf numFmtId="0" fontId="9" fillId="0" borderId="0" xfId="0" applyFont="1"/>
    <xf numFmtId="0" fontId="9" fillId="0" borderId="0" xfId="0" applyFont="1" applyAlignment="1">
      <alignment horizontal="center"/>
    </xf>
    <xf numFmtId="0" fontId="16" fillId="0" borderId="0" xfId="0" applyNumberFormat="1" applyFont="1" applyFill="1" applyBorder="1" applyAlignment="1">
      <alignment horizontal="left" vertical="center"/>
    </xf>
    <xf numFmtId="0" fontId="16" fillId="0" borderId="0" xfId="0" applyFont="1" applyAlignment="1">
      <alignment horizontal="center" vertical="center"/>
    </xf>
    <xf numFmtId="0" fontId="16" fillId="4" borderId="0" xfId="0" applyFont="1" applyFill="1" applyAlignment="1">
      <alignment vertical="center"/>
    </xf>
    <xf numFmtId="0" fontId="16" fillId="0" borderId="0" xfId="0" applyFont="1" applyAlignment="1">
      <alignment vertical="center"/>
    </xf>
    <xf numFmtId="1" fontId="16" fillId="0" borderId="0" xfId="0" applyNumberFormat="1" applyFont="1" applyAlignment="1">
      <alignment vertical="center"/>
    </xf>
    <xf numFmtId="1" fontId="16" fillId="4" borderId="0" xfId="0" applyNumberFormat="1" applyFont="1" applyFill="1" applyAlignment="1">
      <alignment vertical="center"/>
    </xf>
    <xf numFmtId="0" fontId="16" fillId="0" borderId="0" xfId="0" applyFont="1" applyFill="1" applyAlignment="1">
      <alignment vertical="center"/>
    </xf>
    <xf numFmtId="0" fontId="2" fillId="4" borderId="0" xfId="0" applyFont="1" applyFill="1" applyAlignment="1">
      <alignment vertical="center"/>
    </xf>
    <xf numFmtId="0" fontId="2" fillId="0" borderId="0" xfId="0" applyFont="1" applyFill="1" applyAlignment="1">
      <alignment vertical="center"/>
    </xf>
    <xf numFmtId="1" fontId="2" fillId="0" borderId="0" xfId="0" applyNumberFormat="1" applyFont="1" applyFill="1" applyAlignment="1">
      <alignment vertical="center"/>
    </xf>
    <xf numFmtId="1" fontId="2" fillId="4" borderId="0" xfId="0" applyNumberFormat="1" applyFont="1" applyFill="1" applyAlignment="1">
      <alignment vertical="center"/>
    </xf>
    <xf numFmtId="1" fontId="18" fillId="5" borderId="0" xfId="0" applyNumberFormat="1" applyFont="1" applyFill="1" applyAlignment="1">
      <alignment vertical="center"/>
    </xf>
    <xf numFmtId="1" fontId="16" fillId="0" borderId="0" xfId="0" applyNumberFormat="1" applyFont="1" applyFill="1" applyAlignment="1">
      <alignment vertical="center"/>
    </xf>
    <xf numFmtId="0" fontId="2" fillId="0" borderId="0" xfId="0" applyNumberFormat="1" applyFont="1" applyAlignment="1">
      <alignment horizontal="right" vertical="center"/>
    </xf>
    <xf numFmtId="49" fontId="2" fillId="0" borderId="0" xfId="0" applyNumberFormat="1" applyFont="1" applyFill="1" applyAlignment="1">
      <alignment vertical="center"/>
    </xf>
    <xf numFmtId="169" fontId="2" fillId="0" borderId="0" xfId="0" applyNumberFormat="1" applyFont="1" applyFill="1" applyAlignment="1">
      <alignment vertical="center"/>
    </xf>
    <xf numFmtId="0" fontId="2" fillId="0" borderId="0" xfId="0" applyFont="1" applyAlignment="1">
      <alignment horizontal="center" vertical="center"/>
    </xf>
    <xf numFmtId="165" fontId="17" fillId="0" borderId="0" xfId="0" applyNumberFormat="1" applyFont="1"/>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21" fillId="0" borderId="0" xfId="1120" applyNumberFormat="1" applyFont="1" applyFill="1" applyBorder="1" applyAlignment="1">
      <alignment horizontal="center" vertical="center"/>
    </xf>
    <xf numFmtId="0" fontId="2" fillId="0" borderId="0" xfId="0" applyFont="1" applyAlignment="1">
      <alignment horizontal="left" vertical="center"/>
    </xf>
    <xf numFmtId="0" fontId="23" fillId="0" borderId="0" xfId="0" applyFont="1" applyAlignment="1">
      <alignment vertical="center"/>
    </xf>
    <xf numFmtId="9" fontId="2" fillId="0" borderId="0" xfId="1115" applyFont="1" applyFill="1" applyAlignment="1">
      <alignment vertical="center"/>
    </xf>
    <xf numFmtId="0" fontId="2" fillId="0" borderId="0" xfId="0" applyFont="1" applyAlignment="1">
      <alignment horizontal="right" vertical="center"/>
    </xf>
    <xf numFmtId="0" fontId="16" fillId="0" borderId="0" xfId="0" applyFont="1" applyAlignment="1">
      <alignment horizontal="right" vertical="center"/>
    </xf>
    <xf numFmtId="0" fontId="23" fillId="0" borderId="0" xfId="0" applyFont="1" applyFill="1" applyAlignment="1">
      <alignment vertical="center"/>
    </xf>
    <xf numFmtId="170" fontId="16" fillId="0" borderId="0" xfId="0" applyNumberFormat="1" applyFont="1" applyAlignment="1">
      <alignment vertical="center"/>
    </xf>
    <xf numFmtId="0" fontId="25" fillId="0" borderId="0" xfId="0" applyFont="1" applyFill="1" applyAlignment="1">
      <alignment vertical="center"/>
    </xf>
    <xf numFmtId="0" fontId="27" fillId="0" borderId="0" xfId="0" applyFont="1" applyFill="1" applyAlignment="1">
      <alignment vertical="center"/>
    </xf>
    <xf numFmtId="0" fontId="16"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center" vertical="top" wrapText="1"/>
    </xf>
    <xf numFmtId="0" fontId="22" fillId="0" borderId="0" xfId="0" applyFont="1" applyFill="1" applyAlignment="1">
      <alignment vertical="center"/>
    </xf>
    <xf numFmtId="1" fontId="22" fillId="0" borderId="0" xfId="0" applyNumberFormat="1" applyFont="1" applyFill="1" applyAlignment="1">
      <alignment vertical="center"/>
    </xf>
    <xf numFmtId="0" fontId="9" fillId="0" borderId="0" xfId="0" applyFont="1" applyAlignment="1">
      <alignment horizontal="center" vertical="top" wrapText="1"/>
    </xf>
    <xf numFmtId="170" fontId="22" fillId="4" borderId="0" xfId="1115" applyNumberFormat="1" applyFont="1" applyFill="1" applyAlignment="1">
      <alignment vertical="center"/>
    </xf>
    <xf numFmtId="170" fontId="22" fillId="0" borderId="0" xfId="1115" applyNumberFormat="1" applyFont="1" applyAlignment="1">
      <alignment vertical="center"/>
    </xf>
    <xf numFmtId="170" fontId="22" fillId="0" borderId="0" xfId="1115" applyNumberFormat="1" applyFont="1" applyFill="1" applyAlignment="1">
      <alignment vertical="center"/>
    </xf>
    <xf numFmtId="170" fontId="22" fillId="5" borderId="0" xfId="1115" applyNumberFormat="1" applyFont="1" applyFill="1" applyAlignment="1">
      <alignment vertical="center"/>
    </xf>
    <xf numFmtId="170" fontId="16" fillId="0" borderId="0" xfId="1115" applyNumberFormat="1" applyFont="1" applyFill="1" applyAlignment="1">
      <alignment vertical="center"/>
    </xf>
    <xf numFmtId="170" fontId="2" fillId="0" borderId="0" xfId="1115" applyNumberFormat="1" applyFont="1" applyFill="1" applyAlignment="1">
      <alignment horizontal="center" vertical="center"/>
    </xf>
    <xf numFmtId="170" fontId="31" fillId="0" borderId="0" xfId="1115" applyNumberFormat="1" applyFont="1" applyFill="1" applyAlignment="1">
      <alignment vertical="center"/>
    </xf>
    <xf numFmtId="0" fontId="2" fillId="0" borderId="0" xfId="0" applyFont="1" applyFill="1" applyAlignment="1">
      <alignment horizontal="center" vertical="center"/>
    </xf>
    <xf numFmtId="0" fontId="31" fillId="0" borderId="0" xfId="0" applyFont="1" applyFill="1" applyAlignment="1">
      <alignment vertical="center"/>
    </xf>
    <xf numFmtId="0" fontId="16" fillId="0" borderId="0" xfId="0" applyNumberFormat="1" applyFont="1" applyFill="1" applyBorder="1" applyAlignment="1">
      <alignment horizontal="center" vertical="top" wrapText="1"/>
    </xf>
    <xf numFmtId="170" fontId="23" fillId="4" borderId="0" xfId="1115" applyNumberFormat="1" applyFont="1" applyFill="1" applyAlignment="1">
      <alignment vertical="center"/>
    </xf>
    <xf numFmtId="170" fontId="23" fillId="0" borderId="0" xfId="1115" applyNumberFormat="1" applyFont="1" applyAlignment="1">
      <alignment vertical="center"/>
    </xf>
    <xf numFmtId="170" fontId="23" fillId="0" borderId="0" xfId="1115" applyNumberFormat="1" applyFont="1" applyFill="1" applyAlignment="1">
      <alignment vertical="center"/>
    </xf>
    <xf numFmtId="170" fontId="24" fillId="4" borderId="0" xfId="1115" applyNumberFormat="1" applyFont="1" applyFill="1" applyAlignment="1">
      <alignment vertical="center"/>
    </xf>
    <xf numFmtId="170" fontId="24" fillId="0" borderId="0" xfId="1115" applyNumberFormat="1" applyFont="1" applyAlignment="1">
      <alignment vertical="center"/>
    </xf>
    <xf numFmtId="170" fontId="25" fillId="4" borderId="0" xfId="1115" applyNumberFormat="1" applyFont="1" applyFill="1" applyAlignment="1">
      <alignment vertical="center"/>
    </xf>
    <xf numFmtId="170" fontId="26" fillId="0" borderId="0" xfId="1115" applyNumberFormat="1" applyFont="1" applyAlignment="1">
      <alignment vertical="center"/>
    </xf>
    <xf numFmtId="170" fontId="27" fillId="0" borderId="0" xfId="1115" applyNumberFormat="1" applyFont="1" applyFill="1" applyAlignment="1">
      <alignment vertical="center"/>
    </xf>
    <xf numFmtId="170" fontId="27" fillId="4" borderId="0" xfId="1115" applyNumberFormat="1" applyFont="1" applyFill="1" applyAlignment="1">
      <alignment vertical="center"/>
    </xf>
    <xf numFmtId="170" fontId="27" fillId="0" borderId="0" xfId="1115" applyNumberFormat="1" applyFont="1" applyAlignment="1">
      <alignment vertical="center"/>
    </xf>
    <xf numFmtId="170" fontId="25" fillId="0" borderId="0" xfId="1115" applyNumberFormat="1" applyFont="1" applyAlignment="1">
      <alignment vertical="center"/>
    </xf>
    <xf numFmtId="170" fontId="26" fillId="4" borderId="0" xfId="1115" applyNumberFormat="1" applyFont="1" applyFill="1" applyAlignment="1">
      <alignment vertical="center"/>
    </xf>
    <xf numFmtId="170" fontId="24" fillId="0" borderId="0" xfId="1115" applyNumberFormat="1" applyFont="1" applyFill="1" applyAlignment="1">
      <alignment vertical="center"/>
    </xf>
    <xf numFmtId="170" fontId="25" fillId="0" borderId="0" xfId="1115" applyNumberFormat="1" applyFont="1" applyFill="1" applyAlignment="1">
      <alignment vertical="center"/>
    </xf>
    <xf numFmtId="170" fontId="32" fillId="0" borderId="0" xfId="1115" applyNumberFormat="1" applyFont="1" applyAlignment="1">
      <alignment vertical="center"/>
    </xf>
    <xf numFmtId="165" fontId="10" fillId="0" borderId="0" xfId="0" applyNumberFormat="1" applyFont="1" applyAlignment="1">
      <alignment horizontal="center" vertical="top" wrapText="1"/>
    </xf>
    <xf numFmtId="49" fontId="10" fillId="0" borderId="0" xfId="0" applyNumberFormat="1" applyFont="1" applyAlignment="1">
      <alignment horizontal="center" vertical="top" wrapText="1"/>
    </xf>
    <xf numFmtId="165" fontId="10" fillId="0" borderId="0" xfId="0" applyNumberFormat="1" applyFont="1" applyAlignment="1">
      <alignment horizontal="center" vertical="top"/>
    </xf>
    <xf numFmtId="1" fontId="10" fillId="0" borderId="0" xfId="0" applyNumberFormat="1" applyFont="1"/>
    <xf numFmtId="0" fontId="10" fillId="0" borderId="0" xfId="0" applyFont="1" applyAlignment="1">
      <alignment horizontal="center" vertical="top" wrapText="1"/>
    </xf>
    <xf numFmtId="0" fontId="10" fillId="0" borderId="0" xfId="0" applyFont="1"/>
    <xf numFmtId="0" fontId="9" fillId="0" borderId="0" xfId="1197" applyFont="1" applyAlignment="1">
      <alignment vertical="top" wrapText="1"/>
    </xf>
    <xf numFmtId="0" fontId="36" fillId="0" borderId="0" xfId="1120" applyFont="1" applyAlignment="1">
      <alignment horizontal="center" vertical="center"/>
    </xf>
    <xf numFmtId="0" fontId="37" fillId="0" borderId="0" xfId="0" applyFont="1" applyAlignment="1">
      <alignment vertical="center" wrapText="1"/>
    </xf>
    <xf numFmtId="0" fontId="38" fillId="0" borderId="0" xfId="0" applyFont="1"/>
    <xf numFmtId="0" fontId="35" fillId="0" borderId="0" xfId="1120" applyFont="1"/>
    <xf numFmtId="0" fontId="39" fillId="0" borderId="0" xfId="0" applyFont="1"/>
    <xf numFmtId="0" fontId="18" fillId="0" borderId="0" xfId="0" applyFont="1" applyAlignment="1">
      <alignment horizontal="center" vertical="top" wrapText="1"/>
    </xf>
    <xf numFmtId="0" fontId="3" fillId="0" borderId="0" xfId="0" applyFont="1" applyAlignment="1">
      <alignment horizontal="center" vertical="top" wrapText="1"/>
    </xf>
    <xf numFmtId="0" fontId="33" fillId="0" borderId="0" xfId="0" applyFont="1" applyAlignment="1">
      <alignment horizontal="center" vertical="top" wrapText="1"/>
    </xf>
    <xf numFmtId="0" fontId="2"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3" fontId="2" fillId="0" borderId="0" xfId="0" applyNumberFormat="1" applyFont="1" applyBorder="1"/>
    <xf numFmtId="3" fontId="2" fillId="0" borderId="0" xfId="0" applyNumberFormat="1" applyFont="1" applyBorder="1" applyAlignment="1">
      <alignment horizontal="right"/>
    </xf>
    <xf numFmtId="3" fontId="2" fillId="0" borderId="0" xfId="0" applyNumberFormat="1" applyFont="1" applyFill="1" applyBorder="1" applyAlignment="1" applyProtection="1">
      <alignment horizontal="right" vertical="center"/>
    </xf>
    <xf numFmtId="0" fontId="2" fillId="0" borderId="0" xfId="0" applyFont="1" applyBorder="1"/>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left"/>
    </xf>
    <xf numFmtId="0" fontId="40" fillId="0" borderId="0" xfId="0" applyFont="1" applyAlignment="1">
      <alignment horizontal="center"/>
    </xf>
    <xf numFmtId="0" fontId="18" fillId="0" borderId="0" xfId="0" applyFont="1" applyBorder="1" applyAlignment="1">
      <alignment vertical="center" wrapText="1"/>
    </xf>
    <xf numFmtId="2" fontId="18" fillId="0" borderId="0" xfId="0" applyNumberFormat="1" applyFont="1" applyBorder="1" applyAlignment="1">
      <alignment vertical="center" wrapText="1"/>
    </xf>
    <xf numFmtId="165" fontId="18" fillId="0" borderId="0" xfId="0" applyNumberFormat="1" applyFont="1" applyBorder="1" applyAlignment="1">
      <alignment vertical="center" wrapText="1"/>
    </xf>
    <xf numFmtId="0" fontId="18" fillId="0" borderId="0"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top"/>
    </xf>
    <xf numFmtId="0" fontId="2" fillId="0" borderId="0" xfId="0" applyNumberFormat="1" applyFont="1" applyFill="1" applyBorder="1" applyAlignment="1">
      <alignment horizontal="center" vertical="center" wrapText="1"/>
    </xf>
    <xf numFmtId="165" fontId="17" fillId="0" borderId="0" xfId="0" applyNumberFormat="1" applyFont="1" applyBorder="1" applyAlignment="1">
      <alignment vertical="center" wrapText="1"/>
    </xf>
    <xf numFmtId="165" fontId="10" fillId="0" borderId="0" xfId="0" applyNumberFormat="1" applyFont="1" applyBorder="1" applyAlignment="1">
      <alignment horizontal="right" vertical="center" wrapText="1"/>
    </xf>
    <xf numFmtId="171" fontId="0" fillId="0" borderId="0" xfId="0" applyNumberFormat="1"/>
    <xf numFmtId="172" fontId="16" fillId="0" borderId="0" xfId="1745" applyNumberFormat="1" applyFont="1" applyAlignment="1">
      <alignment horizontal="right" vertical="center" wrapText="1"/>
    </xf>
    <xf numFmtId="165" fontId="16" fillId="0" borderId="0" xfId="0" applyNumberFormat="1" applyFont="1" applyAlignment="1">
      <alignment vertical="center" wrapText="1"/>
    </xf>
    <xf numFmtId="167" fontId="2" fillId="0" borderId="0" xfId="1115" applyNumberFormat="1" applyFont="1" applyFill="1" applyBorder="1"/>
    <xf numFmtId="1" fontId="0" fillId="0" borderId="0" xfId="0" applyNumberFormat="1"/>
    <xf numFmtId="172" fontId="2" fillId="0" borderId="0" xfId="1745" applyNumberFormat="1" applyFont="1" applyAlignment="1">
      <alignment horizontal="center" vertical="top" wrapText="1"/>
    </xf>
    <xf numFmtId="173" fontId="2" fillId="0" borderId="0" xfId="1745" applyNumberFormat="1" applyFont="1" applyFill="1" applyBorder="1" applyAlignment="1">
      <alignment vertical="center"/>
    </xf>
    <xf numFmtId="173" fontId="2" fillId="0" borderId="0" xfId="1745" applyNumberFormat="1" applyFont="1"/>
    <xf numFmtId="173" fontId="2" fillId="0" borderId="0" xfId="1745" applyNumberFormat="1" applyFont="1" applyFill="1" applyBorder="1"/>
    <xf numFmtId="173" fontId="2" fillId="0" borderId="0" xfId="1745" applyNumberFormat="1" applyFont="1" applyBorder="1" applyAlignment="1">
      <alignment horizontal="center"/>
    </xf>
    <xf numFmtId="173" fontId="2" fillId="0" borderId="0" xfId="1745" applyNumberFormat="1" applyFont="1" applyAlignment="1">
      <alignment vertical="center"/>
    </xf>
    <xf numFmtId="173" fontId="16" fillId="0" borderId="0" xfId="1745" applyNumberFormat="1" applyFont="1" applyAlignment="1">
      <alignment vertical="center" wrapText="1"/>
    </xf>
    <xf numFmtId="173" fontId="17" fillId="0" borderId="0" xfId="1745" applyNumberFormat="1" applyFont="1" applyBorder="1" applyAlignment="1">
      <alignment vertical="center" wrapText="1"/>
    </xf>
    <xf numFmtId="173" fontId="16" fillId="0" borderId="0" xfId="1745" applyNumberFormat="1" applyFont="1" applyAlignment="1">
      <alignment horizontal="right" vertical="center" wrapText="1"/>
    </xf>
    <xf numFmtId="173" fontId="0" fillId="0" borderId="0" xfId="1745" applyNumberFormat="1" applyFont="1"/>
    <xf numFmtId="1" fontId="2" fillId="0" borderId="0" xfId="0" applyNumberFormat="1" applyFont="1" applyBorder="1" applyAlignment="1">
      <alignment horizontal="center" vertical="top" wrapText="1"/>
    </xf>
    <xf numFmtId="0" fontId="2" fillId="0" borderId="0" xfId="0" applyFont="1" applyAlignment="1">
      <alignment horizontal="left" vertical="top" wrapText="1"/>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16" fillId="0" borderId="0" xfId="0" applyNumberFormat="1" applyFont="1" applyFill="1" applyBorder="1" applyAlignment="1">
      <alignment horizontal="left" vertical="top"/>
    </xf>
    <xf numFmtId="0" fontId="0" fillId="0" borderId="0" xfId="0" applyAlignment="1"/>
    <xf numFmtId="0" fontId="25" fillId="0" borderId="0" xfId="0" applyFont="1" applyFill="1" applyAlignment="1">
      <alignment horizontal="center" vertical="top" wrapText="1"/>
    </xf>
    <xf numFmtId="0" fontId="23" fillId="0" borderId="0" xfId="0" applyFont="1" applyFill="1" applyAlignment="1">
      <alignment horizontal="center" vertical="top" wrapText="1"/>
    </xf>
    <xf numFmtId="0" fontId="26" fillId="0" borderId="0" xfId="0" applyFont="1" applyFill="1" applyAlignment="1">
      <alignment horizontal="center" vertical="top" wrapText="1"/>
    </xf>
    <xf numFmtId="0" fontId="27" fillId="0" borderId="0" xfId="0" applyFont="1" applyFill="1" applyAlignment="1">
      <alignment horizontal="center" vertical="top" wrapText="1"/>
    </xf>
    <xf numFmtId="0" fontId="23" fillId="0" borderId="0"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0" fontId="22" fillId="0" borderId="0" xfId="0" applyFont="1" applyAlignment="1">
      <alignment vertical="center"/>
    </xf>
    <xf numFmtId="170" fontId="22" fillId="0" borderId="0" xfId="0" applyNumberFormat="1" applyFont="1" applyAlignment="1">
      <alignment vertical="center"/>
    </xf>
    <xf numFmtId="0" fontId="42" fillId="0" borderId="0" xfId="0" applyFont="1"/>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vertical="center"/>
    </xf>
    <xf numFmtId="0" fontId="27" fillId="0" borderId="0" xfId="0" applyFont="1" applyAlignment="1">
      <alignment vertical="center"/>
    </xf>
    <xf numFmtId="170" fontId="27" fillId="0" borderId="0" xfId="0" applyNumberFormat="1" applyFont="1" applyAlignment="1">
      <alignment vertical="center"/>
    </xf>
    <xf numFmtId="0" fontId="43" fillId="0" borderId="0" xfId="0" applyFont="1"/>
    <xf numFmtId="0" fontId="23" fillId="0" borderId="0" xfId="0" applyFont="1"/>
    <xf numFmtId="170" fontId="44" fillId="4" borderId="0" xfId="1115" applyNumberFormat="1" applyFont="1" applyFill="1" applyAlignment="1">
      <alignment horizontal="right" vertical="center"/>
    </xf>
    <xf numFmtId="170" fontId="44" fillId="0" borderId="0" xfId="1115" applyNumberFormat="1" applyFont="1" applyAlignment="1">
      <alignment horizontal="right" vertical="center"/>
    </xf>
    <xf numFmtId="2" fontId="2" fillId="0" borderId="0" xfId="0" applyNumberFormat="1" applyFont="1" applyBorder="1" applyAlignment="1">
      <alignment vertical="center" wrapText="1"/>
    </xf>
    <xf numFmtId="165" fontId="2" fillId="0" borderId="0" xfId="0" applyNumberFormat="1" applyFont="1" applyBorder="1" applyAlignment="1">
      <alignment vertical="center" wrapText="1"/>
    </xf>
    <xf numFmtId="9" fontId="2" fillId="0" borderId="0" xfId="1115" applyFont="1" applyBorder="1" applyAlignment="1">
      <alignment horizontal="right" vertical="center" wrapText="1"/>
    </xf>
    <xf numFmtId="2" fontId="0" fillId="0" borderId="0" xfId="0" applyNumberFormat="1"/>
  </cellXfs>
  <cellStyles count="1821">
    <cellStyle name="Comma" xfId="1745"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7" builtinId="9" hidden="1"/>
    <cellStyle name="Followed Hyperlink" xfId="1119"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6" builtinId="8" hidden="1"/>
    <cellStyle name="Hyperlink" xfId="1118" builtinId="8" hidden="1"/>
    <cellStyle name="Hyperlink" xfId="1120" builtinId="8"/>
    <cellStyle name="Normal" xfId="0" builtinId="0"/>
    <cellStyle name="Normal_apendice Información General" xfId="1"/>
    <cellStyle name="Normal_Gasto por finalidad y función" xfId="1197"/>
    <cellStyle name="Normal_Hoja1" xfId="150"/>
    <cellStyle name="Percent" xfId="1115"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theme" Target="theme/theme1.xml"/><Relationship Id="rId38" Type="http://schemas.openxmlformats.org/officeDocument/2006/relationships/styles" Target="styles.xml"/><Relationship Id="rId39" Type="http://schemas.openxmlformats.org/officeDocument/2006/relationships/sharedStrings" Target="sharedStrings.xml"/><Relationship Id="rId4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election activeCell="A4" sqref="A4"/>
    </sheetView>
  </sheetViews>
  <sheetFormatPr baseColWidth="10" defaultColWidth="41.42578125" defaultRowHeight="15" customHeight="1" x14ac:dyDescent="0"/>
  <cols>
    <col min="1" max="1" width="49.28515625" style="186" customWidth="1"/>
    <col min="2" max="2" width="22.42578125" style="186" customWidth="1"/>
    <col min="3" max="16384" width="41.42578125" style="186"/>
  </cols>
  <sheetData>
    <row r="1" spans="1:2" ht="15" customHeight="1">
      <c r="A1" s="186" t="s">
        <v>2638</v>
      </c>
    </row>
    <row r="2" spans="1:2" ht="15" customHeight="1">
      <c r="A2" s="186" t="s">
        <v>2639</v>
      </c>
    </row>
    <row r="3" spans="1:2" ht="15" customHeight="1">
      <c r="A3" s="186" t="s">
        <v>3668</v>
      </c>
    </row>
    <row r="5" spans="1:2" ht="15" customHeight="1">
      <c r="A5" s="188" t="s">
        <v>2386</v>
      </c>
    </row>
    <row r="7" spans="1:2" ht="15" customHeight="1">
      <c r="A7" s="186" t="s">
        <v>2591</v>
      </c>
      <c r="B7" s="187" t="s">
        <v>2387</v>
      </c>
    </row>
    <row r="8" spans="1:2" ht="15" customHeight="1">
      <c r="A8" s="186" t="s">
        <v>3657</v>
      </c>
      <c r="B8" s="187" t="s">
        <v>2388</v>
      </c>
    </row>
    <row r="9" spans="1:2" ht="15" customHeight="1">
      <c r="A9" s="185" t="s">
        <v>2592</v>
      </c>
      <c r="B9" s="187" t="s">
        <v>2389</v>
      </c>
    </row>
    <row r="10" spans="1:2" ht="15" customHeight="1">
      <c r="A10" s="185" t="s">
        <v>3658</v>
      </c>
      <c r="B10" s="187" t="s">
        <v>2390</v>
      </c>
    </row>
    <row r="11" spans="1:2" ht="15" customHeight="1">
      <c r="A11" s="185" t="s">
        <v>3659</v>
      </c>
      <c r="B11" s="187" t="s">
        <v>2391</v>
      </c>
    </row>
    <row r="12" spans="1:2" ht="15" customHeight="1">
      <c r="A12" s="186" t="s">
        <v>2593</v>
      </c>
      <c r="B12" s="187" t="s">
        <v>2392</v>
      </c>
    </row>
    <row r="13" spans="1:2" ht="15" customHeight="1">
      <c r="A13" s="186" t="s">
        <v>2930</v>
      </c>
      <c r="B13" s="187" t="s">
        <v>2967</v>
      </c>
    </row>
    <row r="14" spans="1:2" ht="15" customHeight="1">
      <c r="A14" s="186" t="s">
        <v>2594</v>
      </c>
      <c r="B14" s="187" t="s">
        <v>2393</v>
      </c>
    </row>
    <row r="15" spans="1:2" ht="15" customHeight="1">
      <c r="A15" s="186" t="s">
        <v>2595</v>
      </c>
      <c r="B15" s="187" t="s">
        <v>2394</v>
      </c>
    </row>
    <row r="16" spans="1:2" ht="15" customHeight="1">
      <c r="A16" s="186" t="s">
        <v>2596</v>
      </c>
      <c r="B16" s="187" t="s">
        <v>2395</v>
      </c>
    </row>
    <row r="17" spans="1:2" ht="15" customHeight="1">
      <c r="A17" s="186" t="s">
        <v>2597</v>
      </c>
      <c r="B17" s="187" t="s">
        <v>2396</v>
      </c>
    </row>
    <row r="18" spans="1:2" ht="15" customHeight="1">
      <c r="A18" s="186" t="s">
        <v>2598</v>
      </c>
      <c r="B18" s="187" t="s">
        <v>2584</v>
      </c>
    </row>
    <row r="19" spans="1:2" ht="15" customHeight="1">
      <c r="A19" s="186" t="s">
        <v>2599</v>
      </c>
      <c r="B19" s="187" t="s">
        <v>2397</v>
      </c>
    </row>
    <row r="20" spans="1:2" ht="15" customHeight="1">
      <c r="A20" s="186" t="s">
        <v>2600</v>
      </c>
      <c r="B20" s="187" t="s">
        <v>2398</v>
      </c>
    </row>
    <row r="21" spans="1:2" ht="15" customHeight="1">
      <c r="A21" s="186" t="s">
        <v>2601</v>
      </c>
      <c r="B21" s="187" t="s">
        <v>2585</v>
      </c>
    </row>
    <row r="22" spans="1:2" ht="15" customHeight="1">
      <c r="A22" s="186" t="s">
        <v>2602</v>
      </c>
      <c r="B22" s="187" t="s">
        <v>2586</v>
      </c>
    </row>
    <row r="23" spans="1:2" ht="15" customHeight="1">
      <c r="A23" s="186" t="s">
        <v>2603</v>
      </c>
      <c r="B23" s="187" t="s">
        <v>2587</v>
      </c>
    </row>
    <row r="24" spans="1:2" ht="15" customHeight="1">
      <c r="A24" s="186" t="s">
        <v>2604</v>
      </c>
      <c r="B24" s="187" t="s">
        <v>942</v>
      </c>
    </row>
    <row r="25" spans="1:2" ht="15" customHeight="1">
      <c r="A25" s="186" t="s">
        <v>3232</v>
      </c>
      <c r="B25" s="187" t="s">
        <v>3233</v>
      </c>
    </row>
    <row r="26" spans="1:2" ht="15" customHeight="1">
      <c r="A26" s="186" t="s">
        <v>1079</v>
      </c>
      <c r="B26" s="187" t="s">
        <v>1079</v>
      </c>
    </row>
    <row r="27" spans="1:2" ht="15" customHeight="1">
      <c r="A27" s="186" t="s">
        <v>3328</v>
      </c>
      <c r="B27" s="187" t="s">
        <v>3329</v>
      </c>
    </row>
    <row r="28" spans="1:2" ht="15" customHeight="1">
      <c r="A28" s="186" t="s">
        <v>2605</v>
      </c>
      <c r="B28" s="187" t="s">
        <v>2399</v>
      </c>
    </row>
    <row r="29" spans="1:2" ht="15" customHeight="1">
      <c r="A29" s="186" t="s">
        <v>2606</v>
      </c>
      <c r="B29" s="187" t="s">
        <v>2400</v>
      </c>
    </row>
    <row r="30" spans="1:2" ht="15" customHeight="1">
      <c r="A30" s="185" t="s">
        <v>2607</v>
      </c>
      <c r="B30" s="187" t="s">
        <v>2401</v>
      </c>
    </row>
    <row r="31" spans="1:2" ht="15" customHeight="1">
      <c r="A31" s="186" t="s">
        <v>2608</v>
      </c>
      <c r="B31" s="187" t="s">
        <v>2615</v>
      </c>
    </row>
    <row r="32" spans="1:2" ht="15" customHeight="1">
      <c r="A32" s="186" t="s">
        <v>2616</v>
      </c>
      <c r="B32" s="187" t="s">
        <v>2402</v>
      </c>
    </row>
    <row r="33" spans="1:2" ht="15" customHeight="1">
      <c r="A33" s="186" t="s">
        <v>2609</v>
      </c>
      <c r="B33" s="187" t="s">
        <v>2403</v>
      </c>
    </row>
    <row r="34" spans="1:2" ht="15" customHeight="1">
      <c r="A34" s="186" t="s">
        <v>2610</v>
      </c>
      <c r="B34" s="187" t="s">
        <v>2588</v>
      </c>
    </row>
    <row r="35" spans="1:2" ht="15" customHeight="1">
      <c r="A35" s="186" t="s">
        <v>2611</v>
      </c>
      <c r="B35" s="187" t="s">
        <v>2589</v>
      </c>
    </row>
    <row r="36" spans="1:2" ht="15" customHeight="1">
      <c r="A36" s="186" t="s">
        <v>3336</v>
      </c>
      <c r="B36" s="187" t="s">
        <v>2590</v>
      </c>
    </row>
    <row r="37" spans="1:2" ht="15" customHeight="1">
      <c r="A37" s="186" t="s">
        <v>2612</v>
      </c>
      <c r="B37" s="187" t="s">
        <v>2630</v>
      </c>
    </row>
    <row r="38" spans="1:2" ht="15" customHeight="1">
      <c r="A38" s="186" t="s">
        <v>2613</v>
      </c>
      <c r="B38" s="187" t="s">
        <v>2631</v>
      </c>
    </row>
    <row r="39" spans="1:2" ht="15" customHeight="1">
      <c r="A39" s="186" t="s">
        <v>2614</v>
      </c>
      <c r="B39" s="187" t="s">
        <v>2632</v>
      </c>
    </row>
  </sheetData>
  <hyperlinks>
    <hyperlink ref="B8" location="Electricity!A1" display="Electricity"/>
    <hyperlink ref="B7" location="GPPpercapita!A1" display="GPPpercapita"/>
    <hyperlink ref="B9" location="Inequality!A1" display="Inequality"/>
    <hyperlink ref="B10" location="PovertyAnnual!A1" display="PovertyAnnual"/>
    <hyperlink ref="B11" location="PovertySemesters!A1" display="PovertySemesters"/>
    <hyperlink ref="B12" location="Employment!A1" display="Employment"/>
    <hyperlink ref="B14" location="PublicSpendHealth!A1" display="PublicSpendHealth"/>
    <hyperlink ref="B15" location="PublicSpendNonHealth!A1" display="PublicSpendNonHealth"/>
    <hyperlink ref="B16" location="HealthSpPubVsPriv!A1" display="HealthSpPubVsPriv"/>
    <hyperlink ref="B17" location="BirthAttendance!A1" display="BirthAttendance"/>
    <hyperlink ref="B18" location="HealthPersFacil!A1" display="HealthPersFacil"/>
    <hyperlink ref="B19" location="WaterSanitHous!A1" display="WaterSanitHous"/>
    <hyperlink ref="B20" location="Education!A1" display="Education"/>
    <hyperlink ref="B21" location="MortalityInfant!A1" display="MortalityInfant"/>
    <hyperlink ref="B22" location="MortalityMaternal!A1" display="MortalityMaternal"/>
    <hyperlink ref="B23" location="MortalityOther!A1" display="MortalityOther"/>
    <hyperlink ref="B24" location="Population!A1" display="Population"/>
    <hyperlink ref="B28" location="Geography!A1" display="Geography"/>
    <hyperlink ref="B29" location="ProvLegInstit!A1" display="ProvLegInstit"/>
    <hyperlink ref="B30" location="ProvDepsTurnout!A1" display="ProvDepsTurnout"/>
    <hyperlink ref="B31" location="ProvDepsElecCompet!A1" display="ProvDepsElecCompet"/>
    <hyperlink ref="B32" location="ProvDepsPJPluralityVote!A1" display="ProvDepsPJPluralityVote"/>
    <hyperlink ref="B33" location="ProvDepsGenderQuota!A1" display="ProvDepsGenderQuota"/>
    <hyperlink ref="B34" location="ProvDepsTotalSeats!A1" display="ProvDepsTotalSeats"/>
    <hyperlink ref="B35" location="ProvDepsTotalSeats2ºSources!A1" display="ProvDepsTotalSeats2ºSources"/>
    <hyperlink ref="B36" location="ProvDepsNºFem1ºSources!A1" display="ProvDepsNºFem1ºSources"/>
    <hyperlink ref="B37" location="ProvDepsPctFem2ºSources!A1" display="ProvDepsPctFemale2ºSources"/>
    <hyperlink ref="B38" location="ProvDepsPctFemAllSources!A1" display="ProvDepsPctFemaleAllSource"/>
    <hyperlink ref="B39" location="NatDepsPctFemale!A1" display="NatDepsPctFemale"/>
    <hyperlink ref="B26" location="Urbanization!A1" display="Urbanization"/>
    <hyperlink ref="B13" location="PublicEmployment!A1" display="PublicEmployment"/>
    <hyperlink ref="B25" location="PopulationAged65plus!A1" display="PopulationAged65plus"/>
    <hyperlink ref="B27" location="PopulationDensity!A1" display="PopulationDensity"/>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36"/>
  <sheetViews>
    <sheetView topLeftCell="D1" workbookViewId="0">
      <pane xSplit="8260" topLeftCell="DQ1"/>
      <selection activeCell="EC35" sqref="EC35"/>
      <selection pane="topRight" activeCell="DQ1" sqref="DQ1"/>
    </sheetView>
  </sheetViews>
  <sheetFormatPr baseColWidth="10" defaultRowHeight="13" x14ac:dyDescent="0"/>
  <cols>
    <col min="1" max="1" width="15.140625" style="3" customWidth="1"/>
    <col min="2" max="3" width="5.7109375" style="3" customWidth="1"/>
    <col min="4" max="50" width="10.7109375" style="3"/>
    <col min="68" max="123" width="10.7109375" style="6"/>
  </cols>
  <sheetData>
    <row r="1" spans="1:133">
      <c r="A1" s="137" t="s">
        <v>2404</v>
      </c>
    </row>
    <row r="2" spans="1:133" s="1" customFormat="1" ht="13" customHeight="1">
      <c r="A2" s="1" t="s">
        <v>614</v>
      </c>
      <c r="E2" s="1" t="s">
        <v>446</v>
      </c>
      <c r="F2" s="1" t="s">
        <v>446</v>
      </c>
      <c r="G2" s="1" t="s">
        <v>446</v>
      </c>
      <c r="H2" s="1" t="s">
        <v>446</v>
      </c>
      <c r="I2" s="1" t="s">
        <v>446</v>
      </c>
      <c r="J2" s="1" t="s">
        <v>446</v>
      </c>
      <c r="K2" s="1" t="s">
        <v>446</v>
      </c>
      <c r="L2" s="1" t="s">
        <v>446</v>
      </c>
      <c r="M2" s="1" t="s">
        <v>446</v>
      </c>
      <c r="N2" s="1" t="s">
        <v>446</v>
      </c>
      <c r="O2" s="1" t="s">
        <v>446</v>
      </c>
      <c r="P2" s="1" t="s">
        <v>446</v>
      </c>
      <c r="Q2" s="1" t="s">
        <v>446</v>
      </c>
      <c r="R2" s="1" t="s">
        <v>446</v>
      </c>
      <c r="S2" s="1" t="s">
        <v>446</v>
      </c>
      <c r="T2" s="1" t="s">
        <v>446</v>
      </c>
      <c r="U2" s="1" t="s">
        <v>446</v>
      </c>
      <c r="V2" s="1" t="s">
        <v>446</v>
      </c>
      <c r="W2" s="1" t="s">
        <v>446</v>
      </c>
      <c r="X2" s="1" t="s">
        <v>446</v>
      </c>
      <c r="Y2" s="1" t="s">
        <v>446</v>
      </c>
      <c r="Z2" s="1" t="s">
        <v>446</v>
      </c>
      <c r="AA2" s="1" t="s">
        <v>446</v>
      </c>
      <c r="AB2" s="1" t="s">
        <v>446</v>
      </c>
      <c r="AC2" s="1" t="s">
        <v>446</v>
      </c>
      <c r="AD2" s="1" t="s">
        <v>446</v>
      </c>
      <c r="AE2" s="1" t="s">
        <v>446</v>
      </c>
      <c r="AF2" s="1" t="s">
        <v>446</v>
      </c>
      <c r="AG2" s="1" t="s">
        <v>446</v>
      </c>
      <c r="AH2" s="1" t="s">
        <v>446</v>
      </c>
      <c r="AI2" s="1" t="s">
        <v>446</v>
      </c>
      <c r="AJ2" s="1" t="s">
        <v>446</v>
      </c>
      <c r="AK2" s="1" t="s">
        <v>446</v>
      </c>
      <c r="AL2" s="1" t="s">
        <v>446</v>
      </c>
      <c r="AM2" s="1" t="s">
        <v>446</v>
      </c>
      <c r="AN2" s="1" t="s">
        <v>446</v>
      </c>
      <c r="AO2" s="1" t="s">
        <v>446</v>
      </c>
      <c r="AP2" s="1" t="s">
        <v>446</v>
      </c>
      <c r="AQ2" s="1" t="s">
        <v>446</v>
      </c>
      <c r="AR2" s="1" t="s">
        <v>446</v>
      </c>
      <c r="AS2" s="1" t="s">
        <v>446</v>
      </c>
      <c r="AT2" s="1" t="s">
        <v>446</v>
      </c>
      <c r="AU2" s="1" t="s">
        <v>446</v>
      </c>
      <c r="AV2" s="1" t="s">
        <v>446</v>
      </c>
      <c r="AW2" s="1" t="s">
        <v>446</v>
      </c>
      <c r="AX2" s="1" t="s">
        <v>446</v>
      </c>
      <c r="AY2" s="1" t="s">
        <v>446</v>
      </c>
      <c r="AZ2" s="1" t="s">
        <v>446</v>
      </c>
      <c r="BA2" s="1" t="s">
        <v>446</v>
      </c>
      <c r="BB2" s="1" t="s">
        <v>446</v>
      </c>
      <c r="BC2" s="1" t="s">
        <v>446</v>
      </c>
      <c r="BD2" s="1" t="s">
        <v>446</v>
      </c>
      <c r="BE2" s="1" t="s">
        <v>446</v>
      </c>
      <c r="BF2" s="1" t="s">
        <v>446</v>
      </c>
      <c r="BG2" s="1" t="s">
        <v>446</v>
      </c>
      <c r="BH2" s="1" t="s">
        <v>446</v>
      </c>
      <c r="BI2" s="1" t="s">
        <v>446</v>
      </c>
      <c r="BJ2" s="1" t="s">
        <v>446</v>
      </c>
      <c r="BK2" s="1" t="s">
        <v>446</v>
      </c>
      <c r="BL2" s="1" t="s">
        <v>446</v>
      </c>
      <c r="BM2" s="1" t="s">
        <v>446</v>
      </c>
      <c r="BN2" s="1" t="s">
        <v>446</v>
      </c>
      <c r="BO2" s="1" t="s">
        <v>446</v>
      </c>
      <c r="BP2" s="1" t="s">
        <v>1218</v>
      </c>
      <c r="BQ2" s="1" t="s">
        <v>1218</v>
      </c>
      <c r="BR2" s="1" t="s">
        <v>1218</v>
      </c>
      <c r="BS2" s="1" t="s">
        <v>1218</v>
      </c>
      <c r="BT2" s="1" t="s">
        <v>1218</v>
      </c>
      <c r="BU2" s="1" t="s">
        <v>1218</v>
      </c>
      <c r="BV2" s="1" t="s">
        <v>1218</v>
      </c>
      <c r="BW2" s="1" t="s">
        <v>1218</v>
      </c>
      <c r="BX2" s="1" t="s">
        <v>1218</v>
      </c>
      <c r="BY2" s="1" t="s">
        <v>1218</v>
      </c>
      <c r="BZ2" s="1" t="s">
        <v>1218</v>
      </c>
      <c r="CA2" s="1" t="s">
        <v>1218</v>
      </c>
      <c r="CB2" s="1" t="s">
        <v>1218</v>
      </c>
      <c r="CC2" s="1" t="s">
        <v>1218</v>
      </c>
      <c r="CD2" s="1" t="s">
        <v>1218</v>
      </c>
      <c r="CE2" s="1" t="s">
        <v>1218</v>
      </c>
      <c r="CF2" s="1" t="s">
        <v>1218</v>
      </c>
      <c r="CG2" s="1" t="s">
        <v>1218</v>
      </c>
      <c r="CH2" s="1" t="s">
        <v>1218</v>
      </c>
      <c r="CI2" s="1" t="s">
        <v>1218</v>
      </c>
      <c r="CJ2" s="1" t="s">
        <v>1218</v>
      </c>
      <c r="CK2" s="1" t="s">
        <v>1218</v>
      </c>
      <c r="CL2" s="1" t="s">
        <v>1218</v>
      </c>
      <c r="CM2" s="1" t="s">
        <v>1218</v>
      </c>
      <c r="CN2" s="1" t="s">
        <v>1218</v>
      </c>
      <c r="CO2" s="1" t="s">
        <v>1218</v>
      </c>
      <c r="CP2" s="1" t="s">
        <v>1218</v>
      </c>
      <c r="CQ2" s="1" t="s">
        <v>1218</v>
      </c>
      <c r="CR2" s="1" t="s">
        <v>1218</v>
      </c>
      <c r="CS2" s="1" t="s">
        <v>1218</v>
      </c>
      <c r="CT2" s="1" t="s">
        <v>1218</v>
      </c>
      <c r="CU2" s="1" t="s">
        <v>1218</v>
      </c>
      <c r="CV2" s="1" t="s">
        <v>1218</v>
      </c>
      <c r="CW2" s="1" t="s">
        <v>1218</v>
      </c>
      <c r="CX2" s="1" t="s">
        <v>1218</v>
      </c>
      <c r="CY2" s="1" t="s">
        <v>1218</v>
      </c>
      <c r="CZ2" s="1" t="s">
        <v>1218</v>
      </c>
      <c r="DA2" s="1" t="s">
        <v>1218</v>
      </c>
      <c r="DB2" s="1" t="s">
        <v>1218</v>
      </c>
      <c r="DC2" s="1" t="s">
        <v>1218</v>
      </c>
      <c r="DD2" s="1" t="s">
        <v>1218</v>
      </c>
      <c r="DE2" s="1" t="s">
        <v>1218</v>
      </c>
      <c r="DF2" s="1" t="s">
        <v>1218</v>
      </c>
      <c r="DG2" s="1" t="s">
        <v>1218</v>
      </c>
      <c r="DH2" s="1" t="s">
        <v>1218</v>
      </c>
      <c r="DI2" s="1" t="s">
        <v>1218</v>
      </c>
      <c r="DJ2" s="1" t="s">
        <v>1218</v>
      </c>
      <c r="DK2" s="1" t="s">
        <v>1218</v>
      </c>
      <c r="DL2" s="1" t="s">
        <v>1218</v>
      </c>
      <c r="DM2" s="1" t="s">
        <v>1218</v>
      </c>
      <c r="DN2" s="1" t="s">
        <v>1218</v>
      </c>
      <c r="DO2" s="1" t="s">
        <v>1218</v>
      </c>
      <c r="DP2" s="1" t="s">
        <v>1027</v>
      </c>
      <c r="DQ2" s="1" t="s">
        <v>1218</v>
      </c>
      <c r="DR2" s="1" t="s">
        <v>1027</v>
      </c>
      <c r="DS2" s="1" t="s">
        <v>1218</v>
      </c>
      <c r="DT2" s="1" t="s">
        <v>446</v>
      </c>
      <c r="DU2" s="1" t="s">
        <v>446</v>
      </c>
      <c r="DV2" s="1" t="s">
        <v>446</v>
      </c>
      <c r="DW2" s="1" t="s">
        <v>446</v>
      </c>
      <c r="DX2" s="1" t="s">
        <v>446</v>
      </c>
      <c r="DY2" s="1" t="s">
        <v>446</v>
      </c>
      <c r="DZ2" s="1" t="s">
        <v>446</v>
      </c>
      <c r="EA2" s="1" t="s">
        <v>446</v>
      </c>
      <c r="EB2" s="1" t="s">
        <v>446</v>
      </c>
      <c r="EC2" s="1" t="s">
        <v>446</v>
      </c>
    </row>
    <row r="3" spans="1:133" s="1" customFormat="1" ht="13" customHeight="1">
      <c r="A3" s="1" t="s">
        <v>518</v>
      </c>
      <c r="E3" s="1" t="s">
        <v>2224</v>
      </c>
      <c r="F3" s="1" t="s">
        <v>2224</v>
      </c>
      <c r="G3" s="1" t="s">
        <v>2224</v>
      </c>
      <c r="H3" s="1" t="s">
        <v>2224</v>
      </c>
      <c r="I3" s="1" t="s">
        <v>2224</v>
      </c>
      <c r="J3" s="1" t="s">
        <v>2224</v>
      </c>
      <c r="K3" s="1" t="s">
        <v>2224</v>
      </c>
      <c r="L3" s="1" t="s">
        <v>2224</v>
      </c>
      <c r="M3" s="1" t="s">
        <v>2224</v>
      </c>
      <c r="N3" s="1" t="s">
        <v>2224</v>
      </c>
      <c r="O3" s="1" t="s">
        <v>2224</v>
      </c>
      <c r="P3" s="1" t="s">
        <v>2224</v>
      </c>
      <c r="Q3" s="1" t="s">
        <v>2224</v>
      </c>
      <c r="R3" s="1" t="s">
        <v>2224</v>
      </c>
      <c r="S3" s="1" t="s">
        <v>2224</v>
      </c>
      <c r="T3" s="1" t="s">
        <v>2224</v>
      </c>
      <c r="U3" s="1" t="s">
        <v>2224</v>
      </c>
      <c r="V3" s="1" t="s">
        <v>2224</v>
      </c>
      <c r="W3" s="1" t="s">
        <v>2224</v>
      </c>
      <c r="X3" s="1" t="s">
        <v>2224</v>
      </c>
      <c r="Y3" s="1" t="s">
        <v>2224</v>
      </c>
      <c r="Z3" s="1" t="s">
        <v>2224</v>
      </c>
      <c r="AA3" s="1" t="s">
        <v>2224</v>
      </c>
      <c r="AB3" s="1" t="s">
        <v>2224</v>
      </c>
      <c r="AC3" s="1" t="s">
        <v>2224</v>
      </c>
      <c r="AD3" s="1" t="s">
        <v>2224</v>
      </c>
      <c r="AE3" s="1" t="s">
        <v>2224</v>
      </c>
      <c r="AF3" s="1" t="s">
        <v>2224</v>
      </c>
      <c r="AG3" s="1" t="s">
        <v>2224</v>
      </c>
      <c r="AH3" s="1" t="s">
        <v>2224</v>
      </c>
      <c r="AI3" s="1" t="s">
        <v>2224</v>
      </c>
      <c r="AJ3" s="1" t="s">
        <v>2224</v>
      </c>
      <c r="AK3" s="1" t="s">
        <v>2224</v>
      </c>
      <c r="AL3" s="1" t="s">
        <v>2224</v>
      </c>
      <c r="AM3" s="1" t="s">
        <v>2224</v>
      </c>
      <c r="AN3" s="1" t="s">
        <v>2224</v>
      </c>
      <c r="AO3" s="1" t="s">
        <v>2224</v>
      </c>
      <c r="AP3" s="1" t="s">
        <v>2224</v>
      </c>
      <c r="AQ3" s="1" t="s">
        <v>2224</v>
      </c>
      <c r="AR3" s="1" t="s">
        <v>2224</v>
      </c>
      <c r="AS3" s="1" t="s">
        <v>2224</v>
      </c>
      <c r="AT3" s="1" t="s">
        <v>2224</v>
      </c>
      <c r="AU3" s="1" t="s">
        <v>2224</v>
      </c>
      <c r="AV3" s="1" t="s">
        <v>2224</v>
      </c>
      <c r="AW3" s="1" t="s">
        <v>2224</v>
      </c>
      <c r="AX3" s="1" t="s">
        <v>2224</v>
      </c>
      <c r="AY3" s="1" t="s">
        <v>2224</v>
      </c>
      <c r="AZ3" s="1" t="s">
        <v>2224</v>
      </c>
      <c r="BA3" s="1" t="s">
        <v>2224</v>
      </c>
      <c r="BB3" s="1" t="s">
        <v>2224</v>
      </c>
      <c r="BC3" s="1" t="s">
        <v>2224</v>
      </c>
      <c r="BD3" s="1" t="s">
        <v>2224</v>
      </c>
      <c r="BE3" s="1" t="s">
        <v>2224</v>
      </c>
      <c r="BF3" s="1" t="s">
        <v>2224</v>
      </c>
      <c r="BG3" s="1" t="s">
        <v>2224</v>
      </c>
      <c r="BH3" s="1" t="s">
        <v>2224</v>
      </c>
      <c r="BI3" s="1" t="s">
        <v>2224</v>
      </c>
      <c r="BJ3" s="1" t="s">
        <v>2224</v>
      </c>
      <c r="BK3" s="1" t="s">
        <v>2224</v>
      </c>
      <c r="BL3" s="1" t="s">
        <v>2224</v>
      </c>
      <c r="BM3" s="1" t="s">
        <v>2224</v>
      </c>
      <c r="BN3" s="1" t="s">
        <v>2224</v>
      </c>
      <c r="BO3" s="1" t="s">
        <v>2224</v>
      </c>
      <c r="BP3" s="1" t="s">
        <v>2224</v>
      </c>
      <c r="BQ3" s="1" t="s">
        <v>2224</v>
      </c>
      <c r="BR3" s="1" t="s">
        <v>2224</v>
      </c>
      <c r="BS3" s="1" t="s">
        <v>2224</v>
      </c>
      <c r="BT3" s="1" t="s">
        <v>2224</v>
      </c>
      <c r="BU3" s="1" t="s">
        <v>2224</v>
      </c>
      <c r="BV3" s="1" t="s">
        <v>2224</v>
      </c>
      <c r="BW3" s="1" t="s">
        <v>2224</v>
      </c>
      <c r="BX3" s="1" t="s">
        <v>2224</v>
      </c>
      <c r="BY3" s="1" t="s">
        <v>2224</v>
      </c>
      <c r="BZ3" s="1" t="s">
        <v>2224</v>
      </c>
      <c r="CA3" s="1" t="s">
        <v>2224</v>
      </c>
      <c r="CB3" s="1" t="s">
        <v>2224</v>
      </c>
      <c r="CC3" s="1" t="s">
        <v>2224</v>
      </c>
      <c r="CD3" s="1" t="s">
        <v>2224</v>
      </c>
      <c r="CE3" s="1" t="s">
        <v>2224</v>
      </c>
      <c r="CF3" s="1" t="s">
        <v>2224</v>
      </c>
      <c r="CG3" s="1" t="s">
        <v>2224</v>
      </c>
      <c r="CH3" s="1" t="s">
        <v>2224</v>
      </c>
      <c r="CI3" s="1" t="s">
        <v>2224</v>
      </c>
      <c r="CJ3" s="1" t="s">
        <v>2224</v>
      </c>
      <c r="CK3" s="1" t="s">
        <v>2224</v>
      </c>
      <c r="CL3" s="1" t="s">
        <v>2224</v>
      </c>
      <c r="CM3" s="1" t="s">
        <v>2224</v>
      </c>
      <c r="CN3" s="1" t="s">
        <v>2224</v>
      </c>
      <c r="CO3" s="1" t="s">
        <v>2224</v>
      </c>
      <c r="CP3" s="1" t="s">
        <v>2224</v>
      </c>
      <c r="CQ3" s="1" t="s">
        <v>2224</v>
      </c>
      <c r="CR3" s="1" t="s">
        <v>2224</v>
      </c>
      <c r="CS3" s="1" t="s">
        <v>2224</v>
      </c>
      <c r="CT3" s="1" t="s">
        <v>2224</v>
      </c>
      <c r="CU3" s="1" t="s">
        <v>2224</v>
      </c>
      <c r="CV3" s="1" t="s">
        <v>2224</v>
      </c>
      <c r="CW3" s="1" t="s">
        <v>2224</v>
      </c>
      <c r="CX3" s="1" t="s">
        <v>2224</v>
      </c>
      <c r="CY3" s="1" t="s">
        <v>2224</v>
      </c>
      <c r="CZ3" s="1" t="s">
        <v>2224</v>
      </c>
      <c r="DA3" s="1" t="s">
        <v>2224</v>
      </c>
      <c r="DB3" s="1" t="s">
        <v>2224</v>
      </c>
      <c r="DC3" s="1" t="s">
        <v>2224</v>
      </c>
      <c r="DD3" s="1" t="s">
        <v>2224</v>
      </c>
      <c r="DE3" s="1" t="s">
        <v>2224</v>
      </c>
      <c r="DF3" s="1" t="s">
        <v>2224</v>
      </c>
      <c r="DG3" s="1" t="s">
        <v>2224</v>
      </c>
      <c r="DH3" s="1" t="s">
        <v>2224</v>
      </c>
      <c r="DI3" s="1" t="s">
        <v>2224</v>
      </c>
      <c r="DJ3" s="1" t="s">
        <v>2224</v>
      </c>
      <c r="DK3" s="1" t="s">
        <v>2224</v>
      </c>
      <c r="DL3" s="1" t="s">
        <v>2224</v>
      </c>
      <c r="DM3" s="1" t="s">
        <v>2224</v>
      </c>
      <c r="DN3" s="1" t="s">
        <v>2224</v>
      </c>
      <c r="DO3" s="1" t="s">
        <v>2224</v>
      </c>
      <c r="DP3" s="1" t="s">
        <v>2224</v>
      </c>
      <c r="DQ3" s="1" t="s">
        <v>2224</v>
      </c>
      <c r="DR3" s="1" t="s">
        <v>2224</v>
      </c>
      <c r="DS3" s="1" t="s">
        <v>2224</v>
      </c>
      <c r="DT3" s="1" t="s">
        <v>2224</v>
      </c>
      <c r="DU3" s="1" t="s">
        <v>2224</v>
      </c>
      <c r="DV3" s="1" t="s">
        <v>2224</v>
      </c>
      <c r="DW3" s="1" t="s">
        <v>2224</v>
      </c>
      <c r="DX3" s="1" t="s">
        <v>2224</v>
      </c>
      <c r="DY3" s="1" t="s">
        <v>2224</v>
      </c>
      <c r="DZ3" s="1" t="s">
        <v>2224</v>
      </c>
      <c r="EA3" s="1" t="s">
        <v>2224</v>
      </c>
      <c r="EB3" s="1" t="s">
        <v>2224</v>
      </c>
      <c r="EC3" s="1" t="s">
        <v>2224</v>
      </c>
    </row>
    <row r="4" spans="1:133" s="1" customFormat="1" ht="13" customHeight="1">
      <c r="A4" s="1" t="s">
        <v>736</v>
      </c>
      <c r="E4" s="1" t="s">
        <v>1083</v>
      </c>
      <c r="F4" s="1" t="s">
        <v>1083</v>
      </c>
      <c r="G4" s="1" t="s">
        <v>1083</v>
      </c>
      <c r="H4" s="1" t="s">
        <v>1083</v>
      </c>
      <c r="I4" s="1" t="s">
        <v>1083</v>
      </c>
      <c r="J4" s="1" t="s">
        <v>1083</v>
      </c>
      <c r="K4" s="1" t="s">
        <v>1083</v>
      </c>
      <c r="L4" s="1" t="s">
        <v>1083</v>
      </c>
      <c r="M4" s="1" t="s">
        <v>1083</v>
      </c>
      <c r="N4" s="1" t="s">
        <v>1083</v>
      </c>
      <c r="O4" s="1" t="s">
        <v>1083</v>
      </c>
      <c r="P4" s="1" t="s">
        <v>1083</v>
      </c>
      <c r="Q4" s="1" t="s">
        <v>1083</v>
      </c>
      <c r="R4" s="1" t="s">
        <v>1083</v>
      </c>
      <c r="S4" s="1" t="s">
        <v>1083</v>
      </c>
      <c r="T4" s="1" t="s">
        <v>1083</v>
      </c>
      <c r="U4" s="1" t="s">
        <v>1083</v>
      </c>
      <c r="V4" s="1" t="s">
        <v>1083</v>
      </c>
      <c r="W4" s="1" t="s">
        <v>1083</v>
      </c>
      <c r="X4" s="1" t="s">
        <v>1083</v>
      </c>
      <c r="Y4" s="1" t="s">
        <v>1083</v>
      </c>
      <c r="Z4" s="1" t="s">
        <v>1083</v>
      </c>
      <c r="AA4" s="1" t="s">
        <v>1083</v>
      </c>
      <c r="AB4" s="1" t="s">
        <v>1083</v>
      </c>
      <c r="AC4" s="1" t="s">
        <v>1083</v>
      </c>
      <c r="AD4" s="1" t="s">
        <v>1083</v>
      </c>
      <c r="AE4" s="1" t="s">
        <v>1083</v>
      </c>
      <c r="AF4" s="1" t="s">
        <v>1083</v>
      </c>
      <c r="AG4" s="1" t="s">
        <v>1083</v>
      </c>
      <c r="AH4" s="1" t="s">
        <v>1083</v>
      </c>
      <c r="AI4" s="1" t="s">
        <v>1083</v>
      </c>
      <c r="AJ4" s="1" t="s">
        <v>1083</v>
      </c>
      <c r="AK4" s="1" t="s">
        <v>1083</v>
      </c>
      <c r="AL4" s="1" t="s">
        <v>1083</v>
      </c>
      <c r="AM4" s="1" t="s">
        <v>1083</v>
      </c>
      <c r="AN4" s="1" t="s">
        <v>1083</v>
      </c>
      <c r="AO4" s="1" t="s">
        <v>1083</v>
      </c>
      <c r="AP4" s="1" t="s">
        <v>1083</v>
      </c>
      <c r="AQ4" s="1" t="s">
        <v>1083</v>
      </c>
      <c r="AR4" s="1" t="s">
        <v>1083</v>
      </c>
      <c r="AS4" s="1" t="s">
        <v>1083</v>
      </c>
      <c r="AT4" s="1" t="s">
        <v>1083</v>
      </c>
      <c r="AU4" s="1" t="s">
        <v>1083</v>
      </c>
      <c r="AV4" s="1" t="s">
        <v>1083</v>
      </c>
      <c r="AW4" s="1" t="s">
        <v>1083</v>
      </c>
      <c r="AX4" s="1" t="s">
        <v>1083</v>
      </c>
      <c r="AY4" s="1" t="s">
        <v>1083</v>
      </c>
      <c r="AZ4" s="1" t="s">
        <v>1083</v>
      </c>
      <c r="BA4" s="1" t="s">
        <v>1083</v>
      </c>
      <c r="BB4" s="1" t="s">
        <v>1083</v>
      </c>
      <c r="BC4" s="1" t="s">
        <v>1083</v>
      </c>
      <c r="BD4" s="1" t="s">
        <v>1083</v>
      </c>
      <c r="BE4" s="1" t="s">
        <v>1083</v>
      </c>
      <c r="BF4" s="1" t="s">
        <v>1083</v>
      </c>
      <c r="BG4" s="1" t="s">
        <v>1083</v>
      </c>
      <c r="BH4" s="1" t="s">
        <v>1083</v>
      </c>
      <c r="BI4" s="1" t="s">
        <v>1083</v>
      </c>
      <c r="BJ4" s="1" t="s">
        <v>1083</v>
      </c>
      <c r="BK4" s="1" t="s">
        <v>1083</v>
      </c>
      <c r="BL4" s="1" t="s">
        <v>1083</v>
      </c>
      <c r="BM4" s="1" t="s">
        <v>1083</v>
      </c>
      <c r="BN4" s="1" t="s">
        <v>1083</v>
      </c>
      <c r="BO4" s="1" t="s">
        <v>1083</v>
      </c>
      <c r="BP4" s="1" t="s">
        <v>1083</v>
      </c>
      <c r="BQ4" s="1" t="s">
        <v>1083</v>
      </c>
      <c r="BR4" s="1" t="s">
        <v>1083</v>
      </c>
      <c r="BS4" s="1" t="s">
        <v>1083</v>
      </c>
      <c r="BT4" s="1" t="s">
        <v>1083</v>
      </c>
      <c r="BU4" s="1" t="s">
        <v>1083</v>
      </c>
      <c r="BV4" s="1" t="s">
        <v>1083</v>
      </c>
      <c r="BW4" s="1" t="s">
        <v>1083</v>
      </c>
      <c r="BX4" s="1" t="s">
        <v>1083</v>
      </c>
      <c r="BY4" s="1" t="s">
        <v>1083</v>
      </c>
      <c r="BZ4" s="1" t="s">
        <v>1083</v>
      </c>
      <c r="CA4" s="1" t="s">
        <v>1083</v>
      </c>
      <c r="CB4" s="1" t="s">
        <v>1083</v>
      </c>
      <c r="CC4" s="1" t="s">
        <v>1083</v>
      </c>
      <c r="CD4" s="1" t="s">
        <v>1083</v>
      </c>
      <c r="CE4" s="1" t="s">
        <v>1083</v>
      </c>
      <c r="CF4" s="1" t="s">
        <v>1083</v>
      </c>
      <c r="CG4" s="1" t="s">
        <v>1083</v>
      </c>
      <c r="CH4" s="1" t="s">
        <v>1083</v>
      </c>
      <c r="CI4" s="1" t="s">
        <v>1083</v>
      </c>
      <c r="CJ4" s="1" t="s">
        <v>1083</v>
      </c>
      <c r="CK4" s="1" t="s">
        <v>1083</v>
      </c>
      <c r="CL4" s="1" t="s">
        <v>1083</v>
      </c>
      <c r="CM4" s="1" t="s">
        <v>1083</v>
      </c>
      <c r="CN4" s="1" t="s">
        <v>1083</v>
      </c>
      <c r="CO4" s="1" t="s">
        <v>1083</v>
      </c>
      <c r="CP4" s="1" t="s">
        <v>1083</v>
      </c>
      <c r="CQ4" s="1" t="s">
        <v>1083</v>
      </c>
      <c r="CR4" s="1" t="s">
        <v>1083</v>
      </c>
      <c r="CS4" s="1" t="s">
        <v>1083</v>
      </c>
      <c r="CT4" s="1" t="s">
        <v>1083</v>
      </c>
      <c r="CU4" s="1" t="s">
        <v>1083</v>
      </c>
      <c r="CV4" s="1" t="s">
        <v>1083</v>
      </c>
      <c r="CW4" s="1" t="s">
        <v>2693</v>
      </c>
      <c r="CX4" s="1" t="s">
        <v>2693</v>
      </c>
      <c r="CY4" s="1" t="s">
        <v>2693</v>
      </c>
      <c r="CZ4" s="1" t="s">
        <v>2693</v>
      </c>
      <c r="DA4" s="1" t="s">
        <v>2693</v>
      </c>
      <c r="DB4" s="1" t="s">
        <v>2693</v>
      </c>
      <c r="DC4" s="1" t="s">
        <v>2693</v>
      </c>
      <c r="DD4" s="1" t="s">
        <v>2693</v>
      </c>
      <c r="DE4" s="1" t="s">
        <v>2693</v>
      </c>
      <c r="DF4" s="1" t="s">
        <v>2693</v>
      </c>
      <c r="DG4" s="1" t="s">
        <v>2693</v>
      </c>
      <c r="DH4" s="1" t="s">
        <v>2693</v>
      </c>
      <c r="DI4" s="1" t="s">
        <v>2693</v>
      </c>
      <c r="DJ4" s="1" t="s">
        <v>2693</v>
      </c>
      <c r="DK4" s="1" t="s">
        <v>1083</v>
      </c>
      <c r="DL4" s="1" t="s">
        <v>1083</v>
      </c>
      <c r="DM4" s="1" t="s">
        <v>1083</v>
      </c>
      <c r="DN4" s="1" t="s">
        <v>1083</v>
      </c>
      <c r="DO4" s="1" t="s">
        <v>1083</v>
      </c>
      <c r="DP4" s="1" t="s">
        <v>1028</v>
      </c>
      <c r="DQ4" s="1" t="s">
        <v>1083</v>
      </c>
      <c r="DR4" s="1" t="s">
        <v>1105</v>
      </c>
      <c r="DS4" s="1" t="s">
        <v>1082</v>
      </c>
      <c r="DT4" s="1" t="s">
        <v>1083</v>
      </c>
      <c r="DU4" s="1" t="s">
        <v>1083</v>
      </c>
      <c r="DV4" s="1" t="s">
        <v>1083</v>
      </c>
      <c r="DW4" s="1" t="s">
        <v>1083</v>
      </c>
      <c r="DX4" s="1" t="s">
        <v>1083</v>
      </c>
      <c r="DY4" s="1" t="s">
        <v>1083</v>
      </c>
      <c r="DZ4" s="1" t="s">
        <v>1083</v>
      </c>
      <c r="EA4" s="1" t="s">
        <v>1083</v>
      </c>
      <c r="EB4" s="1" t="s">
        <v>1083</v>
      </c>
      <c r="EC4" s="1" t="s">
        <v>1083</v>
      </c>
    </row>
    <row r="5" spans="1:133" s="1" customFormat="1" ht="13" customHeight="1">
      <c r="A5" s="1" t="s">
        <v>737</v>
      </c>
      <c r="E5" s="1" t="s">
        <v>2694</v>
      </c>
      <c r="F5" s="1" t="s">
        <v>2694</v>
      </c>
      <c r="G5" s="1" t="s">
        <v>2694</v>
      </c>
      <c r="H5" s="1" t="s">
        <v>2694</v>
      </c>
      <c r="I5" s="1" t="s">
        <v>2694</v>
      </c>
      <c r="J5" s="1" t="s">
        <v>2694</v>
      </c>
      <c r="K5" s="1" t="s">
        <v>2694</v>
      </c>
      <c r="L5" s="1" t="s">
        <v>2694</v>
      </c>
      <c r="M5" s="1" t="s">
        <v>2694</v>
      </c>
      <c r="N5" s="1" t="s">
        <v>2694</v>
      </c>
      <c r="O5" s="1" t="s">
        <v>2694</v>
      </c>
      <c r="P5" s="1" t="s">
        <v>2694</v>
      </c>
      <c r="Q5" s="1" t="s">
        <v>2694</v>
      </c>
      <c r="R5" s="1" t="s">
        <v>2694</v>
      </c>
      <c r="S5" s="1" t="s">
        <v>2694</v>
      </c>
      <c r="T5" s="1" t="s">
        <v>2694</v>
      </c>
      <c r="U5" s="1" t="s">
        <v>2694</v>
      </c>
      <c r="V5" s="1" t="s">
        <v>2694</v>
      </c>
      <c r="W5" s="1" t="s">
        <v>2694</v>
      </c>
      <c r="X5" s="1" t="s">
        <v>2694</v>
      </c>
      <c r="Y5" s="1" t="s">
        <v>2694</v>
      </c>
      <c r="Z5" s="1" t="s">
        <v>2694</v>
      </c>
      <c r="AA5" s="1" t="s">
        <v>2694</v>
      </c>
      <c r="AB5" s="1" t="s">
        <v>2695</v>
      </c>
      <c r="AC5" s="1" t="s">
        <v>2695</v>
      </c>
      <c r="AD5" s="1" t="s">
        <v>2695</v>
      </c>
      <c r="AE5" s="1" t="s">
        <v>2695</v>
      </c>
      <c r="AF5" s="1" t="s">
        <v>2695</v>
      </c>
      <c r="AG5" s="1" t="s">
        <v>2695</v>
      </c>
      <c r="AH5" s="1" t="s">
        <v>2695</v>
      </c>
      <c r="AI5" s="1" t="s">
        <v>2695</v>
      </c>
      <c r="AJ5" s="1" t="s">
        <v>2695</v>
      </c>
      <c r="AK5" s="1" t="s">
        <v>2695</v>
      </c>
      <c r="AL5" s="1" t="s">
        <v>2695</v>
      </c>
      <c r="AM5" s="1" t="s">
        <v>2695</v>
      </c>
      <c r="AN5" s="1" t="s">
        <v>2695</v>
      </c>
      <c r="AO5" s="1" t="s">
        <v>2695</v>
      </c>
      <c r="AP5" s="1" t="s">
        <v>2695</v>
      </c>
      <c r="AQ5" s="1" t="s">
        <v>2695</v>
      </c>
      <c r="AR5" s="1" t="s">
        <v>2695</v>
      </c>
      <c r="AS5" s="1" t="s">
        <v>2696</v>
      </c>
      <c r="AT5" s="1" t="s">
        <v>2696</v>
      </c>
      <c r="AU5" s="1" t="s">
        <v>2696</v>
      </c>
      <c r="AV5" s="1" t="s">
        <v>2696</v>
      </c>
      <c r="AW5" s="1" t="s">
        <v>2696</v>
      </c>
      <c r="AX5" s="1" t="s">
        <v>2696</v>
      </c>
      <c r="AY5" s="1" t="s">
        <v>2544</v>
      </c>
      <c r="AZ5" s="1" t="s">
        <v>2544</v>
      </c>
      <c r="BA5" s="1" t="s">
        <v>2544</v>
      </c>
      <c r="BB5" s="1" t="s">
        <v>2544</v>
      </c>
      <c r="BC5" s="1" t="s">
        <v>2544</v>
      </c>
      <c r="BD5" s="1" t="s">
        <v>2544</v>
      </c>
      <c r="BE5" s="1" t="s">
        <v>2544</v>
      </c>
      <c r="BF5" s="1" t="s">
        <v>2544</v>
      </c>
      <c r="BG5" s="1" t="s">
        <v>2544</v>
      </c>
      <c r="BH5" s="1" t="s">
        <v>2544</v>
      </c>
      <c r="BI5" s="1" t="s">
        <v>2544</v>
      </c>
      <c r="BJ5" s="1" t="s">
        <v>2544</v>
      </c>
      <c r="BK5" s="1" t="s">
        <v>2544</v>
      </c>
      <c r="BL5" s="1" t="s">
        <v>2544</v>
      </c>
      <c r="BM5" s="1" t="s">
        <v>2544</v>
      </c>
      <c r="BN5" s="1" t="s">
        <v>2544</v>
      </c>
      <c r="BO5" s="1" t="s">
        <v>2544</v>
      </c>
      <c r="BP5" s="1" t="s">
        <v>1884</v>
      </c>
      <c r="BQ5" s="1" t="s">
        <v>1884</v>
      </c>
      <c r="BR5" s="1" t="s">
        <v>1884</v>
      </c>
      <c r="BS5" s="1" t="s">
        <v>1884</v>
      </c>
      <c r="BT5" s="1" t="s">
        <v>1884</v>
      </c>
      <c r="BU5" s="1" t="s">
        <v>1884</v>
      </c>
      <c r="BV5" s="1" t="s">
        <v>1884</v>
      </c>
      <c r="BW5" s="1" t="s">
        <v>1884</v>
      </c>
      <c r="BX5" s="1" t="s">
        <v>1884</v>
      </c>
      <c r="BY5" s="1" t="s">
        <v>1884</v>
      </c>
      <c r="BZ5" s="1" t="s">
        <v>1884</v>
      </c>
      <c r="CA5" s="1" t="s">
        <v>1884</v>
      </c>
      <c r="CB5" s="1" t="s">
        <v>1884</v>
      </c>
      <c r="CC5" s="1" t="s">
        <v>1884</v>
      </c>
      <c r="CD5" s="1" t="s">
        <v>1884</v>
      </c>
      <c r="CE5" s="1" t="s">
        <v>1884</v>
      </c>
      <c r="CF5" s="1" t="s">
        <v>1884</v>
      </c>
      <c r="CG5" s="1" t="s">
        <v>1884</v>
      </c>
      <c r="CH5" s="1" t="s">
        <v>1884</v>
      </c>
      <c r="CI5" s="1" t="s">
        <v>1098</v>
      </c>
      <c r="CJ5" s="1" t="s">
        <v>1098</v>
      </c>
      <c r="CK5" s="1" t="s">
        <v>1098</v>
      </c>
      <c r="CL5" s="1" t="s">
        <v>1098</v>
      </c>
      <c r="CM5" s="1" t="s">
        <v>1098</v>
      </c>
      <c r="CN5" s="1" t="s">
        <v>1316</v>
      </c>
      <c r="CO5" s="1" t="s">
        <v>1316</v>
      </c>
      <c r="CP5" s="1" t="s">
        <v>1316</v>
      </c>
      <c r="CQ5" s="1" t="s">
        <v>1316</v>
      </c>
      <c r="CR5" s="1" t="s">
        <v>1316</v>
      </c>
      <c r="CS5" s="1" t="s">
        <v>1316</v>
      </c>
      <c r="CT5" s="1" t="s">
        <v>1316</v>
      </c>
      <c r="CU5" s="1" t="s">
        <v>1316</v>
      </c>
      <c r="CV5" s="1" t="s">
        <v>1316</v>
      </c>
      <c r="CW5" s="1" t="s">
        <v>1098</v>
      </c>
      <c r="CX5" s="1" t="s">
        <v>1098</v>
      </c>
      <c r="CY5" s="1" t="s">
        <v>1098</v>
      </c>
      <c r="CZ5" s="1" t="s">
        <v>1098</v>
      </c>
      <c r="DA5" s="1" t="s">
        <v>1098</v>
      </c>
      <c r="DB5" s="1" t="s">
        <v>1098</v>
      </c>
      <c r="DC5" s="1" t="s">
        <v>1098</v>
      </c>
      <c r="DD5" s="1" t="s">
        <v>1098</v>
      </c>
      <c r="DE5" s="1" t="s">
        <v>1098</v>
      </c>
      <c r="DF5" s="1" t="s">
        <v>1098</v>
      </c>
      <c r="DG5" s="1" t="s">
        <v>1098</v>
      </c>
      <c r="DH5" s="1" t="s">
        <v>1098</v>
      </c>
      <c r="DI5" s="1" t="s">
        <v>1098</v>
      </c>
      <c r="DJ5" s="1" t="s">
        <v>1098</v>
      </c>
      <c r="DK5" s="1" t="s">
        <v>1084</v>
      </c>
      <c r="DL5" s="1" t="s">
        <v>1084</v>
      </c>
      <c r="DM5" s="1" t="s">
        <v>1084</v>
      </c>
      <c r="DN5" s="1" t="s">
        <v>1084</v>
      </c>
      <c r="DO5" s="1" t="s">
        <v>1225</v>
      </c>
      <c r="DP5" s="1" t="s">
        <v>1099</v>
      </c>
      <c r="DQ5" s="1" t="s">
        <v>1097</v>
      </c>
      <c r="DR5" s="1" t="s">
        <v>1099</v>
      </c>
      <c r="DS5" s="1" t="s">
        <v>1097</v>
      </c>
      <c r="DT5" s="1" t="s">
        <v>2695</v>
      </c>
      <c r="DU5" s="1" t="s">
        <v>2695</v>
      </c>
      <c r="DV5" s="1" t="s">
        <v>2695</v>
      </c>
      <c r="DW5" s="1" t="s">
        <v>2696</v>
      </c>
      <c r="DX5" s="1" t="s">
        <v>2696</v>
      </c>
      <c r="DY5" s="1" t="s">
        <v>2696</v>
      </c>
      <c r="DZ5" s="1" t="s">
        <v>2696</v>
      </c>
      <c r="EA5" s="1" t="s">
        <v>2696</v>
      </c>
      <c r="EB5" s="1" t="s">
        <v>2696</v>
      </c>
      <c r="EC5" s="1" t="s">
        <v>2696</v>
      </c>
    </row>
    <row r="6" spans="1:133" s="1" customFormat="1" ht="13" customHeight="1">
      <c r="A6" s="1" t="s">
        <v>560</v>
      </c>
      <c r="E6" s="33" t="s">
        <v>1775</v>
      </c>
      <c r="F6" s="33" t="s">
        <v>1776</v>
      </c>
      <c r="G6" s="33" t="s">
        <v>1777</v>
      </c>
      <c r="H6" s="33" t="s">
        <v>1778</v>
      </c>
      <c r="I6" s="33" t="s">
        <v>1779</v>
      </c>
      <c r="J6" s="33" t="s">
        <v>355</v>
      </c>
      <c r="K6" s="71">
        <v>1976</v>
      </c>
      <c r="L6" s="71">
        <v>1977</v>
      </c>
      <c r="M6" s="71">
        <v>1978</v>
      </c>
      <c r="N6" s="71">
        <v>1979</v>
      </c>
      <c r="O6" s="71">
        <v>1980</v>
      </c>
      <c r="P6" s="71">
        <v>1981</v>
      </c>
      <c r="Q6" s="71">
        <v>1982</v>
      </c>
      <c r="R6" s="71">
        <v>1983</v>
      </c>
      <c r="S6" s="71">
        <v>1984</v>
      </c>
      <c r="T6" s="71">
        <v>1985</v>
      </c>
      <c r="U6" s="71">
        <v>1986</v>
      </c>
      <c r="V6" s="71">
        <v>1987</v>
      </c>
      <c r="W6" s="71">
        <v>1988</v>
      </c>
      <c r="X6" s="71">
        <v>1989</v>
      </c>
      <c r="Y6" s="71">
        <v>1990</v>
      </c>
      <c r="Z6" s="71" t="s">
        <v>1877</v>
      </c>
      <c r="AA6" s="71" t="s">
        <v>2801</v>
      </c>
      <c r="AB6" s="71">
        <v>1991</v>
      </c>
      <c r="AC6" s="71">
        <v>1992</v>
      </c>
      <c r="AD6" s="71">
        <v>1993</v>
      </c>
      <c r="AE6" s="71">
        <v>1994</v>
      </c>
      <c r="AF6" s="71">
        <v>1995</v>
      </c>
      <c r="AG6" s="71">
        <v>1996</v>
      </c>
      <c r="AH6" s="71">
        <v>1997</v>
      </c>
      <c r="AI6" s="71">
        <v>1998</v>
      </c>
      <c r="AJ6" s="71">
        <v>1999</v>
      </c>
      <c r="AK6" s="71">
        <v>2000</v>
      </c>
      <c r="AL6" s="71">
        <v>2001</v>
      </c>
      <c r="AM6" s="71">
        <v>2002</v>
      </c>
      <c r="AN6" s="71">
        <v>2003</v>
      </c>
      <c r="AO6" s="71">
        <v>2004</v>
      </c>
      <c r="AP6" s="33" t="s">
        <v>1781</v>
      </c>
      <c r="AQ6" s="33" t="s">
        <v>1782</v>
      </c>
      <c r="AR6" s="33" t="s">
        <v>1783</v>
      </c>
      <c r="AS6" s="33" t="s">
        <v>1784</v>
      </c>
      <c r="AT6" s="33" t="s">
        <v>1785</v>
      </c>
      <c r="AU6" s="33" t="s">
        <v>1826</v>
      </c>
      <c r="AV6" s="33" t="s">
        <v>1812</v>
      </c>
      <c r="AW6" s="33" t="s">
        <v>1869</v>
      </c>
      <c r="AX6" s="33" t="s">
        <v>1927</v>
      </c>
      <c r="AY6" s="1">
        <v>1993</v>
      </c>
      <c r="AZ6" s="1">
        <v>1994</v>
      </c>
      <c r="BA6" s="1">
        <v>1995</v>
      </c>
      <c r="BB6" s="1">
        <v>1996</v>
      </c>
      <c r="BC6" s="1">
        <v>1997</v>
      </c>
      <c r="BD6" s="1">
        <v>1998</v>
      </c>
      <c r="BE6" s="1">
        <v>1999</v>
      </c>
      <c r="BF6" s="1">
        <v>2000</v>
      </c>
      <c r="BG6" s="1">
        <v>2001</v>
      </c>
      <c r="BH6" s="1">
        <v>2002</v>
      </c>
      <c r="BI6" s="1">
        <v>2003</v>
      </c>
      <c r="BJ6" s="1">
        <v>2004</v>
      </c>
      <c r="BK6" s="1">
        <v>2005</v>
      </c>
      <c r="BL6" s="1">
        <v>2006</v>
      </c>
      <c r="BM6" s="1">
        <v>2007</v>
      </c>
      <c r="BN6" s="1">
        <v>2008</v>
      </c>
      <c r="BO6" s="1">
        <v>2009</v>
      </c>
      <c r="BP6" s="42" t="s">
        <v>1877</v>
      </c>
      <c r="BQ6" s="33">
        <v>1992</v>
      </c>
      <c r="BR6" s="33">
        <v>1993</v>
      </c>
      <c r="BS6" s="33">
        <v>1994</v>
      </c>
      <c r="BT6" s="33">
        <v>1995</v>
      </c>
      <c r="BU6" s="33">
        <v>1996</v>
      </c>
      <c r="BV6" s="33">
        <v>1997</v>
      </c>
      <c r="BW6" s="33">
        <v>1998</v>
      </c>
      <c r="BX6" s="33">
        <v>1999</v>
      </c>
      <c r="BY6" s="33">
        <v>2000</v>
      </c>
      <c r="BZ6" s="33" t="s">
        <v>261</v>
      </c>
      <c r="CA6" s="33" t="s">
        <v>1878</v>
      </c>
      <c r="CB6" s="33" t="s">
        <v>1879</v>
      </c>
      <c r="CC6" s="33" t="s">
        <v>6</v>
      </c>
      <c r="CD6" s="33" t="s">
        <v>1880</v>
      </c>
      <c r="CE6" s="33" t="s">
        <v>1881</v>
      </c>
      <c r="CF6" s="33" t="s">
        <v>1553</v>
      </c>
      <c r="CG6" s="33" t="s">
        <v>1882</v>
      </c>
      <c r="CH6" s="33" t="s">
        <v>1883</v>
      </c>
      <c r="CI6" s="42">
        <v>1991</v>
      </c>
      <c r="CJ6" s="42">
        <v>1992</v>
      </c>
      <c r="CK6" s="42">
        <v>1993</v>
      </c>
      <c r="CL6" s="42">
        <v>1994</v>
      </c>
      <c r="CM6" s="42">
        <v>1995</v>
      </c>
      <c r="CN6" s="42">
        <v>1996</v>
      </c>
      <c r="CO6" s="42">
        <v>1997</v>
      </c>
      <c r="CP6" s="42">
        <v>1998</v>
      </c>
      <c r="CQ6" s="42">
        <v>1999</v>
      </c>
      <c r="CR6" s="42">
        <v>2000</v>
      </c>
      <c r="CS6" s="42">
        <v>2001</v>
      </c>
      <c r="CT6" s="42">
        <v>2002</v>
      </c>
      <c r="CU6" s="42">
        <v>2003</v>
      </c>
      <c r="CV6" s="42">
        <v>2004</v>
      </c>
      <c r="CW6" s="42">
        <v>1991</v>
      </c>
      <c r="CX6" s="42">
        <v>1992</v>
      </c>
      <c r="CY6" s="42">
        <v>1993</v>
      </c>
      <c r="CZ6" s="42">
        <v>1994</v>
      </c>
      <c r="DA6" s="42">
        <v>1995</v>
      </c>
      <c r="DB6" s="42">
        <v>1996</v>
      </c>
      <c r="DC6" s="42">
        <v>1997</v>
      </c>
      <c r="DD6" s="42">
        <v>1998</v>
      </c>
      <c r="DE6" s="42">
        <v>1999</v>
      </c>
      <c r="DF6" s="42">
        <v>2000</v>
      </c>
      <c r="DG6" s="42">
        <v>2001</v>
      </c>
      <c r="DH6" s="42">
        <v>2002</v>
      </c>
      <c r="DI6" s="42">
        <v>2003</v>
      </c>
      <c r="DJ6" s="42">
        <v>2004</v>
      </c>
      <c r="DK6" s="42">
        <v>1959</v>
      </c>
      <c r="DL6" s="42">
        <v>1970</v>
      </c>
      <c r="DM6" s="42">
        <v>1980</v>
      </c>
      <c r="DN6" s="42">
        <v>1991</v>
      </c>
      <c r="DO6" s="42">
        <v>2000</v>
      </c>
      <c r="DP6" s="42">
        <v>1993</v>
      </c>
      <c r="DQ6" s="42">
        <v>2000</v>
      </c>
      <c r="DR6" s="42">
        <v>1993</v>
      </c>
      <c r="DS6" s="42">
        <v>2000</v>
      </c>
      <c r="DT6" s="33" t="s">
        <v>1781</v>
      </c>
      <c r="DU6" s="33" t="s">
        <v>329</v>
      </c>
      <c r="DV6" s="33" t="s">
        <v>1783</v>
      </c>
      <c r="DW6" s="33" t="s">
        <v>1784</v>
      </c>
      <c r="DX6" s="33" t="s">
        <v>130</v>
      </c>
      <c r="DY6" s="33" t="s">
        <v>1826</v>
      </c>
      <c r="DZ6" s="33" t="s">
        <v>1812</v>
      </c>
      <c r="EA6" s="33" t="s">
        <v>1869</v>
      </c>
      <c r="EB6" s="33" t="s">
        <v>1927</v>
      </c>
      <c r="EC6" s="33" t="s">
        <v>3348</v>
      </c>
    </row>
    <row r="7" spans="1:133" s="7" customFormat="1" ht="88">
      <c r="A7" s="7" t="s">
        <v>3334</v>
      </c>
      <c r="E7" s="7" t="s">
        <v>2778</v>
      </c>
      <c r="F7" s="7" t="s">
        <v>2779</v>
      </c>
      <c r="G7" s="7" t="s">
        <v>2780</v>
      </c>
      <c r="H7" s="7" t="s">
        <v>2781</v>
      </c>
      <c r="I7" s="7" t="s">
        <v>2782</v>
      </c>
      <c r="J7" s="7" t="s">
        <v>2783</v>
      </c>
      <c r="K7" s="7" t="s">
        <v>2784</v>
      </c>
      <c r="L7" s="7" t="s">
        <v>2785</v>
      </c>
      <c r="M7" s="7" t="s">
        <v>2786</v>
      </c>
      <c r="N7" s="7" t="s">
        <v>2787</v>
      </c>
      <c r="O7" s="7" t="s">
        <v>2788</v>
      </c>
      <c r="P7" s="7" t="s">
        <v>2789</v>
      </c>
      <c r="Q7" s="7" t="s">
        <v>2790</v>
      </c>
      <c r="R7" s="7" t="s">
        <v>2791</v>
      </c>
      <c r="S7" s="7" t="s">
        <v>2792</v>
      </c>
      <c r="T7" s="7" t="s">
        <v>2793</v>
      </c>
      <c r="U7" s="7" t="s">
        <v>2794</v>
      </c>
      <c r="V7" s="7" t="s">
        <v>2795</v>
      </c>
      <c r="W7" s="7" t="s">
        <v>2796</v>
      </c>
      <c r="X7" s="7" t="s">
        <v>2797</v>
      </c>
      <c r="Y7" s="7" t="s">
        <v>2798</v>
      </c>
      <c r="Z7" s="7" t="s">
        <v>2799</v>
      </c>
      <c r="AA7" s="7" t="s">
        <v>2800</v>
      </c>
      <c r="AB7" s="7" t="s">
        <v>2802</v>
      </c>
      <c r="AC7" s="7" t="s">
        <v>2803</v>
      </c>
      <c r="AD7" s="7" t="s">
        <v>2804</v>
      </c>
      <c r="AE7" s="7" t="s">
        <v>2805</v>
      </c>
      <c r="AF7" s="7" t="s">
        <v>2806</v>
      </c>
      <c r="AG7" s="7" t="s">
        <v>2807</v>
      </c>
      <c r="AH7" s="7" t="s">
        <v>2808</v>
      </c>
      <c r="AI7" s="7" t="s">
        <v>2809</v>
      </c>
      <c r="AJ7" s="7" t="s">
        <v>2810</v>
      </c>
      <c r="AK7" s="7" t="s">
        <v>2811</v>
      </c>
      <c r="AL7" s="7" t="s">
        <v>2812</v>
      </c>
      <c r="AM7" s="7" t="s">
        <v>2813</v>
      </c>
      <c r="AN7" s="7" t="s">
        <v>2814</v>
      </c>
      <c r="AO7" s="7" t="s">
        <v>2815</v>
      </c>
      <c r="AP7" s="7" t="s">
        <v>2816</v>
      </c>
      <c r="AQ7" s="7" t="s">
        <v>2817</v>
      </c>
      <c r="AR7" s="7" t="s">
        <v>2818</v>
      </c>
      <c r="AS7" s="7" t="s">
        <v>2819</v>
      </c>
      <c r="AT7" s="7" t="s">
        <v>2820</v>
      </c>
      <c r="AU7" s="7" t="s">
        <v>2821</v>
      </c>
      <c r="AV7" s="7" t="s">
        <v>2822</v>
      </c>
      <c r="AW7" s="7" t="s">
        <v>2998</v>
      </c>
      <c r="AX7" s="7" t="s">
        <v>2999</v>
      </c>
      <c r="AY7" s="7" t="s">
        <v>2697</v>
      </c>
      <c r="AZ7" s="7" t="s">
        <v>2698</v>
      </c>
      <c r="BA7" s="7" t="s">
        <v>2699</v>
      </c>
      <c r="BB7" s="7" t="s">
        <v>2700</v>
      </c>
      <c r="BC7" s="7" t="s">
        <v>2701</v>
      </c>
      <c r="BD7" s="7" t="s">
        <v>2702</v>
      </c>
      <c r="BE7" s="7" t="s">
        <v>2703</v>
      </c>
      <c r="BF7" s="7" t="s">
        <v>2704</v>
      </c>
      <c r="BG7" s="7" t="s">
        <v>2705</v>
      </c>
      <c r="BH7" s="7" t="s">
        <v>2706</v>
      </c>
      <c r="BI7" s="7" t="s">
        <v>2707</v>
      </c>
      <c r="BJ7" s="7" t="s">
        <v>2708</v>
      </c>
      <c r="BK7" s="7" t="s">
        <v>2709</v>
      </c>
      <c r="BL7" s="7" t="s">
        <v>2710</v>
      </c>
      <c r="BM7" s="7" t="s">
        <v>2711</v>
      </c>
      <c r="BN7" s="7" t="s">
        <v>2712</v>
      </c>
      <c r="BO7" s="7" t="s">
        <v>2713</v>
      </c>
      <c r="BP7" s="1" t="s">
        <v>2715</v>
      </c>
      <c r="BQ7" s="1" t="s">
        <v>2716</v>
      </c>
      <c r="BR7" s="1" t="s">
        <v>2717</v>
      </c>
      <c r="BS7" s="1" t="s">
        <v>2718</v>
      </c>
      <c r="BT7" s="1" t="s">
        <v>2719</v>
      </c>
      <c r="BU7" s="1" t="s">
        <v>2720</v>
      </c>
      <c r="BV7" s="1" t="s">
        <v>2721</v>
      </c>
      <c r="BW7" s="1" t="s">
        <v>2722</v>
      </c>
      <c r="BX7" s="1" t="s">
        <v>2723</v>
      </c>
      <c r="BY7" s="1" t="s">
        <v>2724</v>
      </c>
      <c r="BZ7" s="1" t="s">
        <v>2725</v>
      </c>
      <c r="CA7" s="1" t="s">
        <v>2726</v>
      </c>
      <c r="CB7" s="1" t="s">
        <v>2727</v>
      </c>
      <c r="CC7" s="1" t="s">
        <v>2728</v>
      </c>
      <c r="CD7" s="1" t="s">
        <v>2729</v>
      </c>
      <c r="CE7" s="1" t="s">
        <v>2730</v>
      </c>
      <c r="CF7" s="1" t="s">
        <v>2731</v>
      </c>
      <c r="CG7" s="1" t="s">
        <v>2732</v>
      </c>
      <c r="CH7" s="1" t="s">
        <v>2733</v>
      </c>
      <c r="CI7" s="1" t="s">
        <v>1093</v>
      </c>
      <c r="CJ7" s="1" t="s">
        <v>1315</v>
      </c>
      <c r="CK7" s="1" t="s">
        <v>1219</v>
      </c>
      <c r="CL7" s="1" t="s">
        <v>1341</v>
      </c>
      <c r="CM7" s="1" t="s">
        <v>1295</v>
      </c>
      <c r="CN7" s="1" t="s">
        <v>1373</v>
      </c>
      <c r="CO7" s="1" t="s">
        <v>1363</v>
      </c>
      <c r="CP7" s="1" t="s">
        <v>1311</v>
      </c>
      <c r="CQ7" s="1" t="s">
        <v>1296</v>
      </c>
      <c r="CR7" s="1" t="s">
        <v>1297</v>
      </c>
      <c r="CS7" s="1" t="s">
        <v>1251</v>
      </c>
      <c r="CT7" s="1" t="s">
        <v>1092</v>
      </c>
      <c r="CU7" s="1" t="s">
        <v>1125</v>
      </c>
      <c r="CV7" s="1" t="s">
        <v>1056</v>
      </c>
      <c r="CW7" s="1" t="s">
        <v>2679</v>
      </c>
      <c r="CX7" s="1" t="s">
        <v>2680</v>
      </c>
      <c r="CY7" s="1" t="s">
        <v>2681</v>
      </c>
      <c r="CZ7" s="1" t="s">
        <v>2682</v>
      </c>
      <c r="DA7" s="1" t="s">
        <v>2683</v>
      </c>
      <c r="DB7" s="1" t="s">
        <v>2684</v>
      </c>
      <c r="DC7" s="1" t="s">
        <v>2685</v>
      </c>
      <c r="DD7" s="1" t="s">
        <v>2686</v>
      </c>
      <c r="DE7" s="1" t="s">
        <v>2687</v>
      </c>
      <c r="DF7" s="1" t="s">
        <v>2688</v>
      </c>
      <c r="DG7" s="1" t="s">
        <v>2689</v>
      </c>
      <c r="DH7" s="1" t="s">
        <v>2690</v>
      </c>
      <c r="DI7" s="1" t="s">
        <v>2691</v>
      </c>
      <c r="DJ7" s="1" t="s">
        <v>2692</v>
      </c>
      <c r="DK7" s="1" t="s">
        <v>1256</v>
      </c>
      <c r="DL7" s="1" t="s">
        <v>1268</v>
      </c>
      <c r="DM7" s="1" t="s">
        <v>1274</v>
      </c>
      <c r="DN7" s="1" t="s">
        <v>1375</v>
      </c>
      <c r="DO7" s="1" t="s">
        <v>1094</v>
      </c>
      <c r="DP7" s="1" t="s">
        <v>1317</v>
      </c>
      <c r="DQ7" s="1" t="s">
        <v>1319</v>
      </c>
      <c r="DR7" s="1" t="s">
        <v>1173</v>
      </c>
      <c r="DS7" s="1" t="s">
        <v>1318</v>
      </c>
      <c r="DT7" s="7" t="s">
        <v>3480</v>
      </c>
      <c r="DU7" s="7" t="s">
        <v>3481</v>
      </c>
      <c r="DV7" s="7" t="s">
        <v>3482</v>
      </c>
      <c r="DW7" s="7" t="s">
        <v>3483</v>
      </c>
      <c r="DX7" s="7" t="s">
        <v>3484</v>
      </c>
      <c r="DY7" s="7" t="s">
        <v>3485</v>
      </c>
      <c r="DZ7" s="7" t="s">
        <v>3486</v>
      </c>
      <c r="EA7" s="7" t="s">
        <v>3487</v>
      </c>
      <c r="EB7" s="7" t="s">
        <v>3488</v>
      </c>
      <c r="EC7" s="7" t="s">
        <v>3489</v>
      </c>
    </row>
    <row r="8" spans="1:133" s="9" customFormat="1" ht="11">
      <c r="A8" s="9" t="s">
        <v>572</v>
      </c>
      <c r="B8" s="9" t="s">
        <v>770</v>
      </c>
      <c r="C8" s="9" t="s">
        <v>771</v>
      </c>
      <c r="D8" s="9" t="s">
        <v>772</v>
      </c>
      <c r="E8" s="9" t="s">
        <v>2770</v>
      </c>
      <c r="F8" s="9" t="s">
        <v>2738</v>
      </c>
      <c r="G8" s="9" t="s">
        <v>2739</v>
      </c>
      <c r="H8" s="9" t="s">
        <v>2740</v>
      </c>
      <c r="I8" s="9" t="s">
        <v>2741</v>
      </c>
      <c r="J8" s="9" t="s">
        <v>2742</v>
      </c>
      <c r="K8" s="9" t="s">
        <v>2743</v>
      </c>
      <c r="L8" s="9" t="s">
        <v>2744</v>
      </c>
      <c r="M8" s="9" t="s">
        <v>2745</v>
      </c>
      <c r="N8" s="9" t="s">
        <v>2746</v>
      </c>
      <c r="O8" s="9" t="s">
        <v>2747</v>
      </c>
      <c r="P8" s="9" t="s">
        <v>2748</v>
      </c>
      <c r="Q8" s="9" t="s">
        <v>2749</v>
      </c>
      <c r="R8" s="9" t="s">
        <v>2750</v>
      </c>
      <c r="S8" s="9" t="s">
        <v>2751</v>
      </c>
      <c r="T8" s="9" t="s">
        <v>2752</v>
      </c>
      <c r="U8" s="9" t="s">
        <v>2753</v>
      </c>
      <c r="V8" s="9" t="s">
        <v>2754</v>
      </c>
      <c r="W8" s="9" t="s">
        <v>2755</v>
      </c>
      <c r="X8" s="9" t="s">
        <v>2756</v>
      </c>
      <c r="Y8" s="9" t="s">
        <v>2757</v>
      </c>
      <c r="Z8" s="9" t="s">
        <v>2758</v>
      </c>
      <c r="AA8" s="9" t="s">
        <v>2759</v>
      </c>
      <c r="AB8" s="9" t="s">
        <v>2771</v>
      </c>
      <c r="AC8" s="9" t="s">
        <v>2772</v>
      </c>
      <c r="AD8" s="9" t="s">
        <v>2773</v>
      </c>
      <c r="AE8" s="9" t="s">
        <v>2774</v>
      </c>
      <c r="AF8" s="9" t="s">
        <v>2775</v>
      </c>
      <c r="AG8" s="9" t="s">
        <v>2776</v>
      </c>
      <c r="AH8" s="9" t="s">
        <v>2777</v>
      </c>
      <c r="AI8" s="9" t="s">
        <v>2760</v>
      </c>
      <c r="AJ8" s="9" t="s">
        <v>2761</v>
      </c>
      <c r="AK8" s="9" t="s">
        <v>2762</v>
      </c>
      <c r="AL8" s="9" t="s">
        <v>2763</v>
      </c>
      <c r="AM8" s="9" t="s">
        <v>2764</v>
      </c>
      <c r="AN8" s="9" t="s">
        <v>2765</v>
      </c>
      <c r="AO8" s="9" t="s">
        <v>2766</v>
      </c>
      <c r="AP8" s="9" t="s">
        <v>2767</v>
      </c>
      <c r="AQ8" s="9" t="s">
        <v>2768</v>
      </c>
      <c r="AR8" s="9" t="s">
        <v>2769</v>
      </c>
      <c r="AS8" s="9" t="s">
        <v>2734</v>
      </c>
      <c r="AT8" s="9" t="s">
        <v>2735</v>
      </c>
      <c r="AU8" s="9" t="s">
        <v>2736</v>
      </c>
      <c r="AV8" s="9" t="s">
        <v>2737</v>
      </c>
      <c r="AW8" s="9" t="s">
        <v>3000</v>
      </c>
      <c r="AX8" s="9" t="s">
        <v>3001</v>
      </c>
      <c r="AY8" s="9" t="s">
        <v>2823</v>
      </c>
      <c r="AZ8" s="9" t="s">
        <v>2824</v>
      </c>
      <c r="BA8" s="9" t="s">
        <v>2825</v>
      </c>
      <c r="BB8" s="9" t="s">
        <v>2826</v>
      </c>
      <c r="BC8" s="9" t="s">
        <v>2827</v>
      </c>
      <c r="BD8" s="9" t="s">
        <v>2828</v>
      </c>
      <c r="BE8" s="9" t="s">
        <v>2829</v>
      </c>
      <c r="BF8" s="9" t="s">
        <v>2830</v>
      </c>
      <c r="BG8" s="9" t="s">
        <v>2831</v>
      </c>
      <c r="BH8" s="9" t="s">
        <v>2832</v>
      </c>
      <c r="BI8" s="9" t="s">
        <v>2833</v>
      </c>
      <c r="BJ8" s="9" t="s">
        <v>2834</v>
      </c>
      <c r="BK8" s="9" t="s">
        <v>2835</v>
      </c>
      <c r="BL8" s="9" t="s">
        <v>2836</v>
      </c>
      <c r="BM8" s="9" t="s">
        <v>2837</v>
      </c>
      <c r="BN8" s="9" t="s">
        <v>2838</v>
      </c>
      <c r="BO8" s="9" t="s">
        <v>2839</v>
      </c>
      <c r="BP8" s="9" t="s">
        <v>2250</v>
      </c>
      <c r="BQ8" s="9" t="s">
        <v>2251</v>
      </c>
      <c r="BR8" s="9" t="s">
        <v>2233</v>
      </c>
      <c r="BS8" s="9" t="s">
        <v>2234</v>
      </c>
      <c r="BT8" s="9" t="s">
        <v>2235</v>
      </c>
      <c r="BU8" s="9" t="s">
        <v>2236</v>
      </c>
      <c r="BV8" s="9" t="s">
        <v>2237</v>
      </c>
      <c r="BW8" s="9" t="s">
        <v>2238</v>
      </c>
      <c r="BX8" s="9" t="s">
        <v>2239</v>
      </c>
      <c r="BY8" s="9" t="s">
        <v>2240</v>
      </c>
      <c r="BZ8" s="9" t="s">
        <v>2241</v>
      </c>
      <c r="CA8" s="9" t="s">
        <v>2242</v>
      </c>
      <c r="CB8" s="9" t="s">
        <v>2243</v>
      </c>
      <c r="CC8" s="9" t="s">
        <v>2244</v>
      </c>
      <c r="CD8" s="9" t="s">
        <v>2245</v>
      </c>
      <c r="CE8" s="9" t="s">
        <v>2246</v>
      </c>
      <c r="CF8" s="9" t="s">
        <v>2247</v>
      </c>
      <c r="CG8" s="9" t="s">
        <v>2248</v>
      </c>
      <c r="CH8" s="9" t="s">
        <v>2249</v>
      </c>
      <c r="CI8" s="9" t="s">
        <v>2256</v>
      </c>
      <c r="CJ8" s="9" t="s">
        <v>2257</v>
      </c>
      <c r="CK8" s="9" t="s">
        <v>2258</v>
      </c>
      <c r="CL8" s="9" t="s">
        <v>2259</v>
      </c>
      <c r="CM8" s="9" t="s">
        <v>2260</v>
      </c>
      <c r="CN8" s="9" t="s">
        <v>2261</v>
      </c>
      <c r="CO8" s="9" t="s">
        <v>2262</v>
      </c>
      <c r="CP8" s="9" t="s">
        <v>2263</v>
      </c>
      <c r="CQ8" s="9" t="s">
        <v>2264</v>
      </c>
      <c r="CR8" s="9" t="s">
        <v>2265</v>
      </c>
      <c r="CS8" s="9" t="s">
        <v>2266</v>
      </c>
      <c r="CT8" s="9" t="s">
        <v>2267</v>
      </c>
      <c r="CU8" s="9" t="s">
        <v>2268</v>
      </c>
      <c r="CV8" s="9" t="s">
        <v>2269</v>
      </c>
      <c r="CW8" s="9" t="s">
        <v>2666</v>
      </c>
      <c r="CX8" s="9" t="s">
        <v>2667</v>
      </c>
      <c r="CY8" s="9" t="s">
        <v>2668</v>
      </c>
      <c r="CZ8" s="9" t="s">
        <v>2669</v>
      </c>
      <c r="DA8" s="9" t="s">
        <v>2670</v>
      </c>
      <c r="DB8" s="9" t="s">
        <v>2671</v>
      </c>
      <c r="DC8" s="9" t="s">
        <v>2672</v>
      </c>
      <c r="DD8" s="9" t="s">
        <v>2673</v>
      </c>
      <c r="DE8" s="9" t="s">
        <v>2674</v>
      </c>
      <c r="DF8" s="9" t="s">
        <v>2675</v>
      </c>
      <c r="DG8" s="9" t="s">
        <v>2676</v>
      </c>
      <c r="DH8" s="9" t="s">
        <v>2677</v>
      </c>
      <c r="DI8" s="9" t="s">
        <v>2678</v>
      </c>
      <c r="DJ8" s="9" t="s">
        <v>2269</v>
      </c>
      <c r="DK8" s="9" t="s">
        <v>2270</v>
      </c>
      <c r="DL8" s="9" t="s">
        <v>2271</v>
      </c>
      <c r="DM8" s="9" t="s">
        <v>2272</v>
      </c>
      <c r="DN8" s="9" t="s">
        <v>2273</v>
      </c>
      <c r="DO8" s="9" t="s">
        <v>2274</v>
      </c>
      <c r="DP8" s="9" t="s">
        <v>1343</v>
      </c>
      <c r="DQ8" s="9" t="s">
        <v>1061</v>
      </c>
      <c r="DR8" s="9" t="s">
        <v>1342</v>
      </c>
      <c r="DS8" s="9" t="s">
        <v>1287</v>
      </c>
      <c r="DT8" s="9" t="s">
        <v>3470</v>
      </c>
      <c r="DU8" s="9" t="s">
        <v>3471</v>
      </c>
      <c r="DV8" s="9" t="s">
        <v>3472</v>
      </c>
      <c r="DW8" s="9" t="s">
        <v>3473</v>
      </c>
      <c r="DX8" s="9" t="s">
        <v>3474</v>
      </c>
      <c r="DY8" s="9" t="s">
        <v>3475</v>
      </c>
      <c r="DZ8" s="9" t="s">
        <v>3476</v>
      </c>
      <c r="EA8" s="9" t="s">
        <v>3477</v>
      </c>
      <c r="EB8" s="9" t="s">
        <v>3478</v>
      </c>
      <c r="EC8" s="9" t="s">
        <v>3479</v>
      </c>
    </row>
    <row r="9" spans="1:133">
      <c r="A9" s="3" t="s">
        <v>850</v>
      </c>
      <c r="B9" s="3" t="s">
        <v>851</v>
      </c>
      <c r="C9" s="3">
        <v>1</v>
      </c>
      <c r="D9" s="3" t="s">
        <v>759</v>
      </c>
      <c r="E9" s="4">
        <v>6.6241725913214022</v>
      </c>
      <c r="F9" s="4">
        <v>7.1205821205821209</v>
      </c>
      <c r="G9" s="4">
        <v>7.9977190106208571</v>
      </c>
      <c r="H9" s="4">
        <v>7.4124551839300628</v>
      </c>
      <c r="I9" s="4">
        <v>7.277606568081735</v>
      </c>
      <c r="J9" s="4">
        <v>7.6276373258603121</v>
      </c>
      <c r="K9" s="4">
        <v>6.6967338281393767</v>
      </c>
      <c r="L9" s="4">
        <v>5.7906421336065135</v>
      </c>
      <c r="M9" s="4">
        <v>7.451978571961428</v>
      </c>
      <c r="N9" s="4">
        <v>6.9780301855987448</v>
      </c>
      <c r="O9" s="4">
        <v>9.0163780660992501</v>
      </c>
      <c r="P9" s="4">
        <v>10.022069970504573</v>
      </c>
      <c r="Q9" s="4">
        <v>8.6795110361582495</v>
      </c>
      <c r="R9" s="4">
        <v>10.14283240653547</v>
      </c>
      <c r="S9" s="4">
        <v>11.08695606493229</v>
      </c>
      <c r="T9" s="4">
        <v>11.163163967290066</v>
      </c>
      <c r="U9" s="4">
        <v>9.4383616437103441</v>
      </c>
      <c r="V9" s="4">
        <v>9.3638475300150343</v>
      </c>
      <c r="W9" s="4">
        <v>13.722374142225179</v>
      </c>
      <c r="X9" s="4">
        <v>10.264821947804986</v>
      </c>
      <c r="Y9" s="4">
        <v>12.546264502288157</v>
      </c>
      <c r="Z9" s="4"/>
      <c r="AA9" s="4"/>
      <c r="AB9" s="4">
        <v>13.099855046279194</v>
      </c>
      <c r="AC9" s="4">
        <v>11.259256824290318</v>
      </c>
      <c r="AD9" s="4">
        <v>11.277414200906467</v>
      </c>
      <c r="AE9" s="4">
        <v>9.419690540077859</v>
      </c>
      <c r="AF9" s="4">
        <v>10.314244017738211</v>
      </c>
      <c r="AG9" s="4">
        <v>10.460552095419109</v>
      </c>
      <c r="AH9" s="4">
        <v>9.5869387293214725</v>
      </c>
      <c r="AI9" s="4">
        <v>9.7099937920160038</v>
      </c>
      <c r="AJ9" s="4">
        <v>10.659179807488382</v>
      </c>
      <c r="AK9" s="4">
        <v>9.8835639481240651</v>
      </c>
      <c r="AL9" s="4">
        <v>10.321946734771057</v>
      </c>
      <c r="AM9" s="4">
        <v>10.321902828009842</v>
      </c>
      <c r="AN9" s="4">
        <v>9.9607372934990828</v>
      </c>
      <c r="AO9" s="4">
        <v>9.1487914360743456</v>
      </c>
      <c r="AP9" s="4">
        <v>8.957161360022619</v>
      </c>
      <c r="AQ9" s="4">
        <v>7.7900984540844238</v>
      </c>
      <c r="AR9" s="4">
        <v>7.8338683426806472</v>
      </c>
      <c r="AS9" s="4">
        <v>6.5919583199415595</v>
      </c>
      <c r="AT9" s="4">
        <v>7.4730486165241787</v>
      </c>
      <c r="AU9" s="4">
        <v>7.338657634004961</v>
      </c>
      <c r="AV9" s="4">
        <v>6.981711707642714</v>
      </c>
      <c r="AW9" s="4">
        <v>7.2</v>
      </c>
      <c r="AX9" s="4">
        <v>6.7</v>
      </c>
      <c r="AY9" s="73">
        <v>16.152287321561623</v>
      </c>
      <c r="AZ9" s="73">
        <v>15.320710565339505</v>
      </c>
      <c r="BA9" s="73">
        <v>15.702806325070442</v>
      </c>
      <c r="BB9" s="73">
        <v>15.355455695084725</v>
      </c>
      <c r="BC9" s="73">
        <v>14.071466499555141</v>
      </c>
      <c r="BD9" s="73">
        <v>13.921325163494402</v>
      </c>
      <c r="BE9" s="73">
        <v>15.067006299753672</v>
      </c>
      <c r="BF9" s="73">
        <v>14.348344995602247</v>
      </c>
      <c r="BG9" s="73">
        <v>14.728304322925609</v>
      </c>
      <c r="BH9" s="73">
        <v>15.238518467454067</v>
      </c>
      <c r="BI9" s="73">
        <v>14.965162811169455</v>
      </c>
      <c r="BJ9" s="73">
        <v>14.232040834017203</v>
      </c>
      <c r="BK9" s="73">
        <v>14.46484076709989</v>
      </c>
      <c r="BL9" s="73">
        <v>13.101330648657191</v>
      </c>
      <c r="BM9" s="73">
        <v>13.575094737663369</v>
      </c>
      <c r="BN9" s="73">
        <v>13.127627014196921</v>
      </c>
      <c r="BO9" s="73">
        <v>14.036330632142047</v>
      </c>
      <c r="BP9" s="5">
        <v>13.099855046279194</v>
      </c>
      <c r="BQ9" s="5">
        <v>11.259256824290318</v>
      </c>
      <c r="BR9" s="5">
        <v>11.277414200906465</v>
      </c>
      <c r="BS9" s="5">
        <v>9.419690540077859</v>
      </c>
      <c r="BT9" s="5">
        <v>10.31424401773821</v>
      </c>
      <c r="BU9" s="5">
        <v>10.460552095419107</v>
      </c>
      <c r="BV9" s="5">
        <v>9.5869387293214725</v>
      </c>
      <c r="BW9" s="5">
        <v>9.7099937920160038</v>
      </c>
      <c r="BX9" s="5">
        <v>10.659179807488382</v>
      </c>
      <c r="BY9" s="5">
        <v>9.8835639481240634</v>
      </c>
      <c r="BZ9" s="5">
        <v>10.32</v>
      </c>
      <c r="CA9" s="5">
        <v>10.32</v>
      </c>
      <c r="CB9" s="5">
        <v>9.9600000000000009</v>
      </c>
      <c r="CC9" s="5">
        <v>9.1487914360743456</v>
      </c>
      <c r="CD9" s="5">
        <v>8.957161360022619</v>
      </c>
      <c r="CE9" s="5">
        <v>7.7900984540844247</v>
      </c>
      <c r="CF9" s="5">
        <v>7.8338683426806481</v>
      </c>
      <c r="CG9" s="5">
        <v>7.6335468650310121</v>
      </c>
      <c r="CH9" s="5">
        <v>8.6281137130982248</v>
      </c>
      <c r="CI9" s="35">
        <v>13.1</v>
      </c>
      <c r="CJ9" s="35">
        <v>11.3</v>
      </c>
      <c r="CK9" s="35">
        <v>11.3</v>
      </c>
      <c r="CL9" s="35">
        <v>9.4</v>
      </c>
      <c r="CM9" s="35">
        <v>10.3</v>
      </c>
      <c r="CN9" s="35">
        <v>10.5</v>
      </c>
      <c r="CO9" s="35">
        <v>9.6</v>
      </c>
      <c r="CP9" s="35">
        <v>9.6999999999999993</v>
      </c>
      <c r="CQ9" s="35">
        <v>10.7</v>
      </c>
      <c r="CR9" s="35">
        <v>9.9</v>
      </c>
      <c r="CS9" s="35">
        <v>10.3</v>
      </c>
      <c r="CT9" s="35">
        <v>10.3</v>
      </c>
      <c r="CU9" s="35">
        <v>10</v>
      </c>
      <c r="CV9" s="35">
        <v>9.1</v>
      </c>
      <c r="CW9" s="83">
        <v>1298.4049812193998</v>
      </c>
      <c r="CX9" s="83">
        <v>1337.7922076049488</v>
      </c>
      <c r="CY9" s="83">
        <v>1555.390917578505</v>
      </c>
      <c r="CZ9" s="83">
        <v>1460.9684110211278</v>
      </c>
      <c r="DA9" s="83">
        <v>1492.1567918927376</v>
      </c>
      <c r="DB9" s="83">
        <v>1633.0287947044285</v>
      </c>
      <c r="DC9" s="83">
        <v>1689.8006685591554</v>
      </c>
      <c r="DD9" s="83">
        <v>1881.7948419627726</v>
      </c>
      <c r="DE9" s="83">
        <v>2190.673646003178</v>
      </c>
      <c r="DF9" s="83">
        <v>1983.6607959292512</v>
      </c>
      <c r="DG9" s="83">
        <v>2103.601692876618</v>
      </c>
      <c r="DH9" s="83">
        <v>1270.1500719524861</v>
      </c>
      <c r="DI9" s="83">
        <v>1234.6450848153183</v>
      </c>
      <c r="DJ9" s="83">
        <v>1377.6633972586646</v>
      </c>
      <c r="DK9" s="45">
        <v>0.13834951456310679</v>
      </c>
      <c r="DL9" s="45">
        <v>0.11701802627558813</v>
      </c>
      <c r="DM9" s="45">
        <v>0.13700903558915728</v>
      </c>
      <c r="DN9" s="38">
        <v>0.1433971178832979</v>
      </c>
      <c r="DO9" s="38">
        <v>0.10801256873527101</v>
      </c>
      <c r="DP9" s="35">
        <v>11.3</v>
      </c>
      <c r="DQ9" s="35">
        <v>9.9</v>
      </c>
      <c r="DR9" s="79">
        <v>63.2</v>
      </c>
      <c r="DS9" s="79">
        <v>76.599999999999994</v>
      </c>
      <c r="DT9" s="214">
        <v>7.8067069143439527E-2</v>
      </c>
      <c r="DU9" s="214">
        <v>6.7821145147820006E-2</v>
      </c>
      <c r="DV9" s="214">
        <v>6.833615963542268E-2</v>
      </c>
      <c r="DW9" s="214">
        <v>6.5919583199415599E-2</v>
      </c>
      <c r="DX9" s="214">
        <v>7.4730486165241791E-2</v>
      </c>
      <c r="DY9" s="214">
        <v>7.3386576340049609E-2</v>
      </c>
      <c r="DZ9" s="214">
        <v>6.9819402589361423E-2</v>
      </c>
      <c r="EA9" s="214">
        <v>7.1675644401342706E-2</v>
      </c>
      <c r="EB9" s="214">
        <v>6.6992191473082996E-2</v>
      </c>
      <c r="EC9" s="214">
        <v>6.9590213771948378E-2</v>
      </c>
    </row>
    <row r="10" spans="1:133">
      <c r="A10" s="3" t="s">
        <v>667</v>
      </c>
      <c r="B10" s="3" t="s">
        <v>668</v>
      </c>
      <c r="C10" s="3">
        <v>2</v>
      </c>
      <c r="D10" s="3" t="s">
        <v>759</v>
      </c>
      <c r="E10" s="4"/>
      <c r="F10" s="4"/>
      <c r="G10" s="4"/>
      <c r="H10" s="4"/>
      <c r="I10" s="4"/>
      <c r="J10" s="4"/>
      <c r="K10" s="4"/>
      <c r="L10" s="4"/>
      <c r="M10" s="4"/>
      <c r="N10" s="4"/>
      <c r="O10" s="4"/>
      <c r="P10" s="4"/>
      <c r="Q10" s="4"/>
      <c r="R10" s="4"/>
      <c r="S10" s="4"/>
      <c r="T10" s="4"/>
      <c r="U10" s="4"/>
      <c r="V10" s="4"/>
      <c r="W10" s="4"/>
      <c r="X10" s="4"/>
      <c r="Y10" s="4"/>
      <c r="Z10" s="4"/>
      <c r="AA10" s="4"/>
      <c r="AB10" s="4">
        <v>26.822798476888632</v>
      </c>
      <c r="AC10" s="4">
        <v>27.105253544678519</v>
      </c>
      <c r="AD10" s="4">
        <v>27.624801972830404</v>
      </c>
      <c r="AE10" s="4">
        <v>29.294240673133228</v>
      </c>
      <c r="AF10" s="4">
        <v>29.503153880769883</v>
      </c>
      <c r="AG10" s="4">
        <v>27.518613807999447</v>
      </c>
      <c r="AH10" s="4">
        <v>27.977465342635465</v>
      </c>
      <c r="AI10" s="4">
        <v>28.837940058571217</v>
      </c>
      <c r="AJ10" s="4">
        <v>27.334286061985896</v>
      </c>
      <c r="AK10" s="4">
        <v>27.43510141497822</v>
      </c>
      <c r="AL10" s="4">
        <v>26.828402933521105</v>
      </c>
      <c r="AM10" s="4">
        <v>27.937701903493998</v>
      </c>
      <c r="AN10" s="4">
        <v>27.843733600720068</v>
      </c>
      <c r="AO10" s="4">
        <v>24.327544863533703</v>
      </c>
      <c r="AP10" s="4">
        <v>23.129451457883764</v>
      </c>
      <c r="AQ10" s="4">
        <v>24.079203285466921</v>
      </c>
      <c r="AR10" s="4">
        <v>23.102463268706103</v>
      </c>
      <c r="AS10" s="4">
        <v>21.74009860118522</v>
      </c>
      <c r="AT10" s="4">
        <v>24.044290426523418</v>
      </c>
      <c r="AU10" s="4">
        <v>22.541431854117992</v>
      </c>
      <c r="AV10" s="4">
        <v>22.694441411471736</v>
      </c>
      <c r="AW10" s="4">
        <v>23.1</v>
      </c>
      <c r="AX10" s="4">
        <v>20.7</v>
      </c>
      <c r="AY10" s="73">
        <v>28.96370725172936</v>
      </c>
      <c r="AZ10" s="73">
        <v>32.345519252872158</v>
      </c>
      <c r="BA10" s="73">
        <v>32.59180742533237</v>
      </c>
      <c r="BB10" s="73">
        <v>30.995859308009027</v>
      </c>
      <c r="BC10" s="73">
        <v>31.371173912668372</v>
      </c>
      <c r="BD10" s="73">
        <v>31.559530591860192</v>
      </c>
      <c r="BE10" s="73">
        <v>29.939575972618954</v>
      </c>
      <c r="BF10" s="73">
        <v>29.613068293159611</v>
      </c>
      <c r="BG10" s="73">
        <v>29.530562680627771</v>
      </c>
      <c r="BH10" s="73">
        <v>32.903811424908099</v>
      </c>
      <c r="BI10" s="73">
        <v>30.53785617403107</v>
      </c>
      <c r="BJ10" s="73">
        <v>28.586994575551049</v>
      </c>
      <c r="BK10" s="73">
        <v>26.406329971639209</v>
      </c>
      <c r="BL10" s="73">
        <v>26.776962236950457</v>
      </c>
      <c r="BM10" s="73">
        <v>26.262907361339234</v>
      </c>
      <c r="BN10" s="73">
        <v>24.657637881639946</v>
      </c>
      <c r="BO10" s="73">
        <v>26.354990319839121</v>
      </c>
      <c r="BP10" s="5">
        <v>26.822798476888632</v>
      </c>
      <c r="BQ10" s="5">
        <v>27.105253544678522</v>
      </c>
      <c r="BR10" s="5">
        <v>27.624801972830401</v>
      </c>
      <c r="BS10" s="5">
        <v>29.294240673133235</v>
      </c>
      <c r="BT10" s="5">
        <v>29.50315388076989</v>
      </c>
      <c r="BU10" s="5">
        <v>27.518613807999451</v>
      </c>
      <c r="BV10" s="5">
        <v>27.977465342635469</v>
      </c>
      <c r="BW10" s="5">
        <v>28.83794005857121</v>
      </c>
      <c r="BX10" s="5">
        <v>27.20571195383344</v>
      </c>
      <c r="BY10" s="5">
        <v>28.036292843633539</v>
      </c>
      <c r="BZ10" s="5">
        <v>26.83</v>
      </c>
      <c r="CA10" s="5">
        <v>27.94</v>
      </c>
      <c r="CB10" s="5">
        <v>27.84</v>
      </c>
      <c r="CC10" s="5">
        <v>24.327544863533703</v>
      </c>
      <c r="CD10" s="5">
        <v>23.129451457883771</v>
      </c>
      <c r="CE10" s="5">
        <v>24.079203285466921</v>
      </c>
      <c r="CF10" s="5">
        <v>23.102463268706103</v>
      </c>
      <c r="CG10" s="5">
        <v>21.740098601185217</v>
      </c>
      <c r="CH10" s="5">
        <v>24.044289985015531</v>
      </c>
      <c r="CI10" s="35">
        <v>26.8</v>
      </c>
      <c r="CJ10" s="35">
        <v>27.1</v>
      </c>
      <c r="CK10" s="35">
        <v>27.6</v>
      </c>
      <c r="CL10" s="35">
        <v>29.3</v>
      </c>
      <c r="CM10" s="35">
        <v>29.5</v>
      </c>
      <c r="CN10" s="35">
        <v>27.5</v>
      </c>
      <c r="CO10" s="35">
        <v>28</v>
      </c>
      <c r="CP10" s="35">
        <v>28.8</v>
      </c>
      <c r="CQ10" s="35">
        <v>27.2</v>
      </c>
      <c r="CR10" s="35">
        <v>27.4</v>
      </c>
      <c r="CS10" s="35">
        <v>26.8</v>
      </c>
      <c r="CT10" s="35">
        <v>27.9</v>
      </c>
      <c r="CU10" s="35">
        <v>27.8</v>
      </c>
      <c r="CV10" s="35">
        <v>24.3</v>
      </c>
      <c r="CW10" s="83">
        <v>1071.6423038828782</v>
      </c>
      <c r="CX10" s="83">
        <v>1464.884333479182</v>
      </c>
      <c r="CY10" s="83">
        <v>1536.7461843018741</v>
      </c>
      <c r="CZ10" s="83">
        <v>1515.2907847035467</v>
      </c>
      <c r="DA10" s="83">
        <v>1447.0280207445771</v>
      </c>
      <c r="DB10" s="83">
        <v>1465.5198174797763</v>
      </c>
      <c r="DC10" s="83">
        <v>1492.0192485545613</v>
      </c>
      <c r="DD10" s="83">
        <v>1493.6727250794763</v>
      </c>
      <c r="DE10" s="83">
        <v>1581.4713852923705</v>
      </c>
      <c r="DF10" s="83">
        <v>1581.7841131596961</v>
      </c>
      <c r="DG10" s="83">
        <v>1584.9217486372863</v>
      </c>
      <c r="DH10" s="83">
        <v>1027.8293683315021</v>
      </c>
      <c r="DI10" s="83">
        <v>1060.4300020148125</v>
      </c>
      <c r="DJ10" s="83">
        <v>1059.3445344424408</v>
      </c>
      <c r="DK10" s="45">
        <v>0.39986737400530498</v>
      </c>
      <c r="DL10" s="45">
        <v>0.28887830435818052</v>
      </c>
      <c r="DM10" s="45">
        <v>0.17598522167487685</v>
      </c>
      <c r="DN10" s="38">
        <v>0.34412097230073485</v>
      </c>
      <c r="DO10" s="38">
        <v>0.37968515742128939</v>
      </c>
      <c r="DP10" s="35">
        <v>27.6</v>
      </c>
      <c r="DQ10" s="35">
        <v>28</v>
      </c>
      <c r="DR10" s="79">
        <v>276</v>
      </c>
      <c r="DS10" s="79">
        <v>286.39999999999998</v>
      </c>
      <c r="DT10" s="214">
        <v>0.23129451457883765</v>
      </c>
      <c r="DU10" s="214">
        <v>0.24079203285466924</v>
      </c>
      <c r="DV10" s="214">
        <v>0.23102463268706103</v>
      </c>
      <c r="DW10" s="214">
        <v>0.2174009860118522</v>
      </c>
      <c r="DX10" s="214">
        <v>0.24044290426523418</v>
      </c>
      <c r="DY10" s="214">
        <v>0.22541431854117991</v>
      </c>
      <c r="DZ10" s="214">
        <v>0.22694441411471736</v>
      </c>
      <c r="EA10" s="214">
        <v>0.2314462590045592</v>
      </c>
      <c r="EB10" s="214">
        <v>0.20653404640029002</v>
      </c>
      <c r="EC10" s="214">
        <v>0.20706472019829117</v>
      </c>
    </row>
    <row r="11" spans="1:133">
      <c r="A11" s="3" t="s">
        <v>669</v>
      </c>
      <c r="B11" s="3" t="s">
        <v>663</v>
      </c>
      <c r="C11" s="3">
        <v>3</v>
      </c>
      <c r="D11" s="3" t="s">
        <v>664</v>
      </c>
      <c r="E11" s="4">
        <v>7.7562326869806091</v>
      </c>
      <c r="F11" s="4">
        <v>9.3668690372940162</v>
      </c>
      <c r="G11" s="4">
        <v>8.6737548964745397</v>
      </c>
      <c r="H11" s="4">
        <v>10.123706134814441</v>
      </c>
      <c r="I11" s="4">
        <v>13.38686481303931</v>
      </c>
      <c r="J11" s="4">
        <v>14.93118253681634</v>
      </c>
      <c r="K11" s="4">
        <v>12.353371595820089</v>
      </c>
      <c r="L11" s="4">
        <v>11.115976114224713</v>
      </c>
      <c r="M11" s="4">
        <v>9.7526748636594949</v>
      </c>
      <c r="N11" s="4">
        <v>9.182595906101696</v>
      </c>
      <c r="O11" s="4">
        <v>10.304521235514958</v>
      </c>
      <c r="P11" s="4">
        <v>10.068167582436917</v>
      </c>
      <c r="Q11" s="4">
        <v>10.529872178596451</v>
      </c>
      <c r="R11" s="4">
        <v>10.013813679714008</v>
      </c>
      <c r="S11" s="4">
        <v>11.013520091330934</v>
      </c>
      <c r="T11" s="4">
        <v>8.8970786437412457</v>
      </c>
      <c r="U11" s="4">
        <v>10.136094813853788</v>
      </c>
      <c r="V11" s="4">
        <v>7.3133453622314049</v>
      </c>
      <c r="W11" s="4">
        <v>6.5320114197172954</v>
      </c>
      <c r="X11" s="4">
        <v>8.1226519691821242</v>
      </c>
      <c r="Y11" s="4">
        <v>6.2070056139796002</v>
      </c>
      <c r="Z11" s="4">
        <v>5.3</v>
      </c>
      <c r="AA11" s="4">
        <v>8.9</v>
      </c>
      <c r="AB11" s="4">
        <v>7.0286500076752345</v>
      </c>
      <c r="AC11" s="4">
        <v>11.211488344333032</v>
      </c>
      <c r="AD11" s="4">
        <v>8.1043714140088774</v>
      </c>
      <c r="AE11" s="4">
        <v>8.3276900484850849</v>
      </c>
      <c r="AF11" s="4">
        <v>8.7251665130072009</v>
      </c>
      <c r="AG11" s="4">
        <v>8.0482986707070339</v>
      </c>
      <c r="AH11" s="4">
        <v>9.8003997638369462</v>
      </c>
      <c r="AI11" s="4">
        <v>7.1239312363730738</v>
      </c>
      <c r="AJ11" s="4">
        <v>8.9467979368762336</v>
      </c>
      <c r="AK11" s="4">
        <v>8.3127819678701727</v>
      </c>
      <c r="AL11" s="4">
        <v>8.0987776148317394</v>
      </c>
      <c r="AM11" s="4">
        <v>8.8338494169021349</v>
      </c>
      <c r="AN11" s="4">
        <v>9.2273041654562533</v>
      </c>
      <c r="AO11" s="4">
        <v>7.1076469952090191</v>
      </c>
      <c r="AP11" s="4">
        <v>6.9935624457585259</v>
      </c>
      <c r="AQ11" s="4">
        <v>7.472172220662757</v>
      </c>
      <c r="AR11" s="4">
        <v>8.5623133368011537</v>
      </c>
      <c r="AS11" s="4">
        <v>8.571799725227768</v>
      </c>
      <c r="AT11" s="4">
        <v>9.6945556504102228</v>
      </c>
      <c r="AU11" s="4">
        <v>9.9405131778123028</v>
      </c>
      <c r="AV11" s="4">
        <v>10.034792158818021</v>
      </c>
      <c r="AW11" s="4">
        <v>9.8000000000000007</v>
      </c>
      <c r="AX11" s="4">
        <v>10.1</v>
      </c>
      <c r="AY11" s="73">
        <v>12.68654043822726</v>
      </c>
      <c r="AZ11" s="73">
        <v>14.250728716850558</v>
      </c>
      <c r="BA11" s="73">
        <v>15.51602715514562</v>
      </c>
      <c r="BB11" s="73">
        <v>15.025484749309051</v>
      </c>
      <c r="BC11" s="73">
        <v>18.473436693488711</v>
      </c>
      <c r="BD11" s="73">
        <v>15.392311325176964</v>
      </c>
      <c r="BE11" s="73">
        <v>17.8733967842625</v>
      </c>
      <c r="BF11" s="73">
        <v>18.26013000388371</v>
      </c>
      <c r="BG11" s="73">
        <v>16.933213950992727</v>
      </c>
      <c r="BH11" s="73">
        <v>19.36668034389578</v>
      </c>
      <c r="BI11" s="73">
        <v>17.295849971362852</v>
      </c>
      <c r="BJ11" s="73">
        <v>17.601731252648634</v>
      </c>
      <c r="BK11" s="73">
        <v>15.637725633179173</v>
      </c>
      <c r="BL11" s="73">
        <v>15.700982372222461</v>
      </c>
      <c r="BM11" s="73">
        <v>16.691871893715359</v>
      </c>
      <c r="BN11" s="73">
        <v>16.774288128831145</v>
      </c>
      <c r="BO11" s="73">
        <v>18.985332701093107</v>
      </c>
      <c r="BP11" s="5">
        <v>7.0286500076752354</v>
      </c>
      <c r="BQ11" s="5">
        <v>11.211488344333032</v>
      </c>
      <c r="BR11" s="5">
        <v>8.1043714140088774</v>
      </c>
      <c r="BS11" s="5">
        <v>8.3276900484850849</v>
      </c>
      <c r="BT11" s="5">
        <v>8.7251665130072009</v>
      </c>
      <c r="BU11" s="5">
        <v>8.0482986707070321</v>
      </c>
      <c r="BV11" s="5">
        <v>9.8003997638369462</v>
      </c>
      <c r="BW11" s="5">
        <v>7.1239312363730738</v>
      </c>
      <c r="BX11" s="5">
        <v>8.9467979368762336</v>
      </c>
      <c r="BY11" s="5">
        <v>8.3127819678701691</v>
      </c>
      <c r="BZ11" s="5">
        <v>8.1</v>
      </c>
      <c r="CA11" s="5">
        <v>8.83</v>
      </c>
      <c r="CB11" s="5">
        <v>9.23</v>
      </c>
      <c r="CC11" s="5">
        <v>7.1076469952090182</v>
      </c>
      <c r="CD11" s="5">
        <v>6.9935624457585277</v>
      </c>
      <c r="CE11" s="5">
        <v>7.4721722206627561</v>
      </c>
      <c r="CF11" s="5">
        <v>8.5623133368011537</v>
      </c>
      <c r="CG11" s="5">
        <v>8.571799725227768</v>
      </c>
      <c r="CH11" s="5">
        <v>9.6945554812138113</v>
      </c>
      <c r="CI11" s="35">
        <v>7</v>
      </c>
      <c r="CJ11" s="35">
        <v>11.2</v>
      </c>
      <c r="CK11" s="35">
        <v>8.1</v>
      </c>
      <c r="CL11" s="35">
        <v>8.3000000000000007</v>
      </c>
      <c r="CM11" s="35">
        <v>8.6999999999999993</v>
      </c>
      <c r="CN11" s="35">
        <v>8</v>
      </c>
      <c r="CO11" s="35">
        <v>9.8000000000000007</v>
      </c>
      <c r="CP11" s="35">
        <v>7.1</v>
      </c>
      <c r="CQ11" s="35">
        <v>8.9</v>
      </c>
      <c r="CR11" s="35">
        <v>8.3000000000000007</v>
      </c>
      <c r="CS11" s="35">
        <v>8.1</v>
      </c>
      <c r="CT11" s="35">
        <v>8.8000000000000007</v>
      </c>
      <c r="CU11" s="35">
        <v>9.1999999999999993</v>
      </c>
      <c r="CV11" s="35">
        <v>7.1</v>
      </c>
      <c r="CW11" s="83">
        <v>45.270562113646278</v>
      </c>
      <c r="CX11" s="83">
        <v>89.509234973951919</v>
      </c>
      <c r="CY11" s="83">
        <v>71.203477222136527</v>
      </c>
      <c r="CZ11" s="83">
        <v>78.181273142974959</v>
      </c>
      <c r="DA11" s="83">
        <v>68.825451667177106</v>
      </c>
      <c r="DB11" s="83">
        <v>68.711302167398898</v>
      </c>
      <c r="DC11" s="83">
        <v>91.36228574923328</v>
      </c>
      <c r="DD11" s="83">
        <v>70.863049886540296</v>
      </c>
      <c r="DE11" s="83">
        <v>94.48349222587062</v>
      </c>
      <c r="DF11" s="83">
        <v>79.685763699587838</v>
      </c>
      <c r="DG11" s="83">
        <v>83.266409164088103</v>
      </c>
      <c r="DH11" s="83">
        <v>55.634356995861936</v>
      </c>
      <c r="DI11" s="83">
        <v>59.578096500036068</v>
      </c>
      <c r="DJ11" s="83">
        <v>55.453632599999999</v>
      </c>
      <c r="DK11" s="45">
        <v>9.3781855249745152E-2</v>
      </c>
      <c r="DL11" s="45">
        <v>0.10085441447478641</v>
      </c>
      <c r="DM11" s="45">
        <v>0.12002266105535773</v>
      </c>
      <c r="DN11" s="38">
        <v>0.13183532369578882</v>
      </c>
      <c r="DO11" s="38">
        <v>0.11368055555555553</v>
      </c>
      <c r="DP11" s="35">
        <v>8.1</v>
      </c>
      <c r="DQ11" s="35">
        <v>8.3000000000000007</v>
      </c>
      <c r="DR11" s="79">
        <v>133.9</v>
      </c>
      <c r="DS11" s="79">
        <v>137.5</v>
      </c>
      <c r="DT11" s="214">
        <v>6.9935624457585263E-2</v>
      </c>
      <c r="DU11" s="214">
        <v>7.4721722206627567E-2</v>
      </c>
      <c r="DV11" s="214">
        <v>8.5623133368011542E-2</v>
      </c>
      <c r="DW11" s="214">
        <v>8.5717997252277675E-2</v>
      </c>
      <c r="DX11" s="214">
        <v>9.6945556504102234E-2</v>
      </c>
      <c r="DY11" s="214">
        <v>9.9405131778123032E-2</v>
      </c>
      <c r="DZ11" s="214">
        <v>0.10034792158818021</v>
      </c>
      <c r="EA11" s="214">
        <v>9.8292857316416252E-2</v>
      </c>
      <c r="EB11" s="214">
        <v>0.10111770340398345</v>
      </c>
      <c r="EC11" s="214">
        <v>0.10087779345907709</v>
      </c>
    </row>
    <row r="12" spans="1:133">
      <c r="A12" s="3" t="s">
        <v>665</v>
      </c>
      <c r="B12" s="3" t="s">
        <v>640</v>
      </c>
      <c r="C12" s="3">
        <v>4</v>
      </c>
      <c r="D12" s="3" t="s">
        <v>641</v>
      </c>
      <c r="E12" s="4">
        <v>12.164073550212164</v>
      </c>
      <c r="F12" s="4">
        <v>13.590692755156002</v>
      </c>
      <c r="G12" s="4">
        <v>12.146118721461187</v>
      </c>
      <c r="H12" s="4">
        <v>11.932594504326701</v>
      </c>
      <c r="I12" s="4">
        <v>10.536912751677852</v>
      </c>
      <c r="J12" s="4">
        <v>4.7785919082510357</v>
      </c>
      <c r="K12" s="4">
        <v>2.8414872108849529</v>
      </c>
      <c r="L12" s="4">
        <v>6.344052667131697</v>
      </c>
      <c r="M12" s="4">
        <v>11.406078036201208</v>
      </c>
      <c r="N12" s="4">
        <v>8.862036989185242</v>
      </c>
      <c r="O12" s="4">
        <v>8.2905095810793163</v>
      </c>
      <c r="P12" s="4">
        <v>5.347244182603883</v>
      </c>
      <c r="Q12" s="4">
        <v>8.3550032516604915</v>
      </c>
      <c r="R12" s="4">
        <v>9.5442485419193233</v>
      </c>
      <c r="S12" s="4">
        <v>11.369722415466621</v>
      </c>
      <c r="T12" s="4">
        <v>10.241253140321556</v>
      </c>
      <c r="U12" s="4">
        <v>9.9775860769390157</v>
      </c>
      <c r="V12" s="4">
        <v>10.028998552318695</v>
      </c>
      <c r="W12" s="4">
        <v>12.226991483750833</v>
      </c>
      <c r="X12" s="4">
        <v>10.693028150952074</v>
      </c>
      <c r="Y12" s="4">
        <v>13.256773920406436</v>
      </c>
      <c r="Z12" s="4">
        <v>9.1999999999999993</v>
      </c>
      <c r="AA12" s="4">
        <v>11.5</v>
      </c>
      <c r="AB12" s="4">
        <v>9.1293918472044542</v>
      </c>
      <c r="AC12" s="4">
        <v>10.28614505815456</v>
      </c>
      <c r="AD12" s="4">
        <v>9.5365512559896199</v>
      </c>
      <c r="AE12" s="4">
        <v>10.072171120666184</v>
      </c>
      <c r="AF12" s="4">
        <v>10.414730919499032</v>
      </c>
      <c r="AG12" s="4">
        <v>10.474509681670781</v>
      </c>
      <c r="AH12" s="4">
        <v>10.578128307916307</v>
      </c>
      <c r="AI12" s="4">
        <v>9.3039434558723997</v>
      </c>
      <c r="AJ12" s="4">
        <v>9.4916827859765753</v>
      </c>
      <c r="AK12" s="4">
        <v>9.4501587365956485</v>
      </c>
      <c r="AL12" s="4">
        <v>8.7398595489608386</v>
      </c>
      <c r="AM12" s="4">
        <v>9.8935102062546818</v>
      </c>
      <c r="AN12" s="4">
        <v>7.9963999843809832</v>
      </c>
      <c r="AO12" s="4">
        <v>7.2041422586445858</v>
      </c>
      <c r="AP12" s="4">
        <v>7.4606661140251678</v>
      </c>
      <c r="AQ12" s="4">
        <v>8.731044151549213</v>
      </c>
      <c r="AR12" s="4">
        <v>9.9841000437399003</v>
      </c>
      <c r="AS12" s="4">
        <v>9.5480819116882145</v>
      </c>
      <c r="AT12" s="4">
        <v>9.4072149414361075</v>
      </c>
      <c r="AU12" s="4">
        <v>8.6328531959780133</v>
      </c>
      <c r="AV12" s="4">
        <v>9.4160096682097887</v>
      </c>
      <c r="AW12" s="4">
        <v>9.4</v>
      </c>
      <c r="AX12" s="4"/>
      <c r="AY12" s="73">
        <v>14.29290562162066</v>
      </c>
      <c r="AZ12" s="73">
        <v>14.194802183534602</v>
      </c>
      <c r="BA12" s="73">
        <v>13.532403977401064</v>
      </c>
      <c r="BB12" s="73">
        <v>14.332125476852328</v>
      </c>
      <c r="BC12" s="73">
        <v>14.314740590203554</v>
      </c>
      <c r="BD12" s="73">
        <v>13.101848041848758</v>
      </c>
      <c r="BE12" s="73">
        <v>14.362989762301964</v>
      </c>
      <c r="BF12" s="73">
        <v>13.88249720874045</v>
      </c>
      <c r="BG12" s="73">
        <v>13.093423961523015</v>
      </c>
      <c r="BH12" s="73">
        <v>14.104786866945195</v>
      </c>
      <c r="BI12" s="73">
        <v>13.038146258672462</v>
      </c>
      <c r="BJ12" s="73">
        <v>12.000141992980859</v>
      </c>
      <c r="BK12" s="73">
        <v>12.637618919786695</v>
      </c>
      <c r="BL12" s="73">
        <v>13.728632793695883</v>
      </c>
      <c r="BM12" s="73">
        <v>15.290645632507729</v>
      </c>
      <c r="BN12" s="73">
        <v>14.903724969635091</v>
      </c>
      <c r="BO12" s="73">
        <v>14.908989123949917</v>
      </c>
      <c r="BP12" s="5">
        <v>9.129391847204456</v>
      </c>
      <c r="BQ12" s="5">
        <v>10.286145058154561</v>
      </c>
      <c r="BR12" s="5">
        <v>9.5365512559896235</v>
      </c>
      <c r="BS12" s="5">
        <v>10.072171120666185</v>
      </c>
      <c r="BT12" s="5">
        <v>10.41473091949903</v>
      </c>
      <c r="BU12" s="5">
        <v>10.474509681670781</v>
      </c>
      <c r="BV12" s="5">
        <v>10.578128307916305</v>
      </c>
      <c r="BW12" s="5">
        <v>9.3039434558723979</v>
      </c>
      <c r="BX12" s="5">
        <v>9.4916827859765753</v>
      </c>
      <c r="BY12" s="5">
        <v>9.450163922410086</v>
      </c>
      <c r="BZ12" s="5">
        <v>8.74</v>
      </c>
      <c r="CA12" s="5">
        <v>9.89</v>
      </c>
      <c r="CB12" s="5">
        <v>8</v>
      </c>
      <c r="CC12" s="5">
        <v>7.2041422586445858</v>
      </c>
      <c r="CD12" s="5">
        <v>7.4606661140251687</v>
      </c>
      <c r="CE12" s="5">
        <v>8.7310441515492148</v>
      </c>
      <c r="CF12" s="5">
        <v>9.9841000437399003</v>
      </c>
      <c r="CG12" s="5">
        <v>10.319765726519966</v>
      </c>
      <c r="CH12" s="5">
        <v>11.086513332775173</v>
      </c>
      <c r="CI12" s="35">
        <v>9.1</v>
      </c>
      <c r="CJ12" s="35">
        <v>10.3</v>
      </c>
      <c r="CK12" s="35">
        <v>9.5</v>
      </c>
      <c r="CL12" s="35">
        <v>10.1</v>
      </c>
      <c r="CM12" s="35">
        <v>10.4</v>
      </c>
      <c r="CN12" s="35">
        <v>10.7</v>
      </c>
      <c r="CO12" s="35">
        <v>9.9</v>
      </c>
      <c r="CP12" s="35">
        <v>8.8000000000000007</v>
      </c>
      <c r="CQ12" s="35">
        <v>9.5</v>
      </c>
      <c r="CR12" s="35">
        <v>9.1999999999999993</v>
      </c>
      <c r="CS12" s="35">
        <v>8.1</v>
      </c>
      <c r="CT12" s="35">
        <v>10.9</v>
      </c>
      <c r="CU12" s="35">
        <v>8.8000000000000007</v>
      </c>
      <c r="CV12" s="35">
        <v>8.1</v>
      </c>
      <c r="CW12" s="83">
        <v>111.12500029636446</v>
      </c>
      <c r="CX12" s="83">
        <v>145.58336419867089</v>
      </c>
      <c r="CY12" s="83">
        <v>137.6190308466299</v>
      </c>
      <c r="CZ12" s="83">
        <v>147.5532281295161</v>
      </c>
      <c r="DA12" s="83">
        <v>156.16588997036169</v>
      </c>
      <c r="DB12" s="83">
        <v>157.67973252579714</v>
      </c>
      <c r="DC12" s="83">
        <v>182.34225418622586</v>
      </c>
      <c r="DD12" s="83">
        <v>193.7813696462851</v>
      </c>
      <c r="DE12" s="83">
        <v>197.71843700290572</v>
      </c>
      <c r="DF12" s="83">
        <v>188.94632790729196</v>
      </c>
      <c r="DG12" s="83">
        <v>179.36666363340899</v>
      </c>
      <c r="DH12" s="83">
        <v>118.45858866578654</v>
      </c>
      <c r="DI12" s="83">
        <v>104.34209489091742</v>
      </c>
      <c r="DJ12" s="83">
        <v>109.58299055691484</v>
      </c>
      <c r="DK12" s="45">
        <v>0.18032786885245899</v>
      </c>
      <c r="DL12" s="45">
        <v>0.12616690240452616</v>
      </c>
      <c r="DM12" s="45">
        <v>0.11645164973170453</v>
      </c>
      <c r="DN12" s="38">
        <v>9.3845760980592441E-2</v>
      </c>
      <c r="DO12" s="38">
        <v>0.10636599481141487</v>
      </c>
      <c r="DP12" s="35">
        <v>9.5</v>
      </c>
      <c r="DQ12" s="35">
        <v>9.5</v>
      </c>
      <c r="DR12" s="79">
        <v>83.6</v>
      </c>
      <c r="DS12" s="79">
        <v>108.9</v>
      </c>
      <c r="DT12" s="214">
        <v>6.8003910054645358E-2</v>
      </c>
      <c r="DU12" s="214">
        <v>8.1532494932686758E-2</v>
      </c>
      <c r="DV12" s="214">
        <v>7.8704928856466905E-2</v>
      </c>
      <c r="DW12" s="214">
        <v>8.196488252701524E-2</v>
      </c>
      <c r="DX12" s="214">
        <v>9.5406606432417732E-2</v>
      </c>
      <c r="DY12" s="214">
        <v>9.8361037849366714E-2</v>
      </c>
      <c r="DZ12" s="214">
        <v>0.10370389503146879</v>
      </c>
      <c r="EA12" s="214">
        <v>9.9053056318558208E-2</v>
      </c>
      <c r="EB12" s="214">
        <v>0.10456680842858132</v>
      </c>
      <c r="EC12" s="214">
        <v>9.5326030859109748E-2</v>
      </c>
    </row>
    <row r="13" spans="1:133">
      <c r="A13" s="3" t="s">
        <v>539</v>
      </c>
      <c r="B13" s="3" t="s">
        <v>540</v>
      </c>
      <c r="C13" s="3">
        <v>5</v>
      </c>
      <c r="D13" s="3" t="s">
        <v>541</v>
      </c>
      <c r="E13" s="4">
        <v>7.0872947277441645</v>
      </c>
      <c r="F13" s="4">
        <v>6.3604240282685502</v>
      </c>
      <c r="G13" s="4">
        <v>6.9162210338680916</v>
      </c>
      <c r="H13" s="4">
        <v>10.014947683109117</v>
      </c>
      <c r="I13" s="4">
        <v>14.684230918248742</v>
      </c>
      <c r="J13" s="4">
        <v>12.900419204302777</v>
      </c>
      <c r="K13" s="4">
        <v>10.986824110839692</v>
      </c>
      <c r="L13" s="4">
        <v>10.64767940400745</v>
      </c>
      <c r="M13" s="4">
        <v>10.501025592380323</v>
      </c>
      <c r="N13" s="4">
        <v>9.6728521126039304</v>
      </c>
      <c r="O13" s="4">
        <v>10.046070086603269</v>
      </c>
      <c r="P13" s="4">
        <v>10.020341708423546</v>
      </c>
      <c r="Q13" s="4">
        <v>8.7765015273861451</v>
      </c>
      <c r="R13" s="4">
        <v>10.663546221606968</v>
      </c>
      <c r="S13" s="4">
        <v>13.344158333166838</v>
      </c>
      <c r="T13" s="4">
        <v>12.842690845302243</v>
      </c>
      <c r="U13" s="4">
        <v>12.553481295553414</v>
      </c>
      <c r="V13" s="4">
        <v>11.523860459867269</v>
      </c>
      <c r="W13" s="4">
        <v>11.650105755986493</v>
      </c>
      <c r="X13" s="4">
        <v>13.332793499125945</v>
      </c>
      <c r="Y13" s="4">
        <v>12.174170616113745</v>
      </c>
      <c r="Z13" s="4">
        <v>11.3</v>
      </c>
      <c r="AA13" s="4">
        <v>12.2</v>
      </c>
      <c r="AB13" s="4">
        <v>13.059980093946621</v>
      </c>
      <c r="AC13" s="4">
        <v>13.341345363304812</v>
      </c>
      <c r="AD13" s="4">
        <v>11.467985573683338</v>
      </c>
      <c r="AE13" s="4">
        <v>11.99502668815556</v>
      </c>
      <c r="AF13" s="4">
        <v>11.751287487010959</v>
      </c>
      <c r="AG13" s="4">
        <v>11.205679371880844</v>
      </c>
      <c r="AH13" s="4">
        <v>11.027698239422502</v>
      </c>
      <c r="AI13" s="4">
        <v>11.427183486979837</v>
      </c>
      <c r="AJ13" s="4">
        <v>11.459593373818345</v>
      </c>
      <c r="AK13" s="4">
        <v>11.74404393867686</v>
      </c>
      <c r="AL13" s="4">
        <v>11.794412548305807</v>
      </c>
      <c r="AM13" s="4">
        <v>11.861608264071062</v>
      </c>
      <c r="AN13" s="4">
        <v>10.133577703546292</v>
      </c>
      <c r="AO13" s="4">
        <v>10.026089262328707</v>
      </c>
      <c r="AP13" s="4">
        <v>10.20891915050283</v>
      </c>
      <c r="AQ13" s="4">
        <v>9.2491235529017732</v>
      </c>
      <c r="AR13" s="4">
        <v>10.0465170313029</v>
      </c>
      <c r="AS13" s="4">
        <v>9.0317561065155019</v>
      </c>
      <c r="AT13" s="4">
        <v>9.6550369347983143</v>
      </c>
      <c r="AU13" s="4">
        <v>9.7447651288478578</v>
      </c>
      <c r="AV13" s="4">
        <v>10.306054653285734</v>
      </c>
      <c r="AW13" s="4">
        <v>10.9</v>
      </c>
      <c r="AX13" s="4">
        <v>11.6</v>
      </c>
      <c r="AY13" s="73">
        <v>15.47179976537244</v>
      </c>
      <c r="AZ13" s="73">
        <v>16.203355990440578</v>
      </c>
      <c r="BA13" s="73">
        <v>16.493700247596131</v>
      </c>
      <c r="BB13" s="73">
        <v>15.911531454750868</v>
      </c>
      <c r="BC13" s="73">
        <v>15.264343314197761</v>
      </c>
      <c r="BD13" s="73">
        <v>16.064890405960682</v>
      </c>
      <c r="BE13" s="73">
        <v>15.762762296547891</v>
      </c>
      <c r="BF13" s="73">
        <v>16.429037749227934</v>
      </c>
      <c r="BG13" s="73">
        <v>16.348039494458813</v>
      </c>
      <c r="BH13" s="73">
        <v>16.304115605506059</v>
      </c>
      <c r="BI13" s="73">
        <v>14.738413470852235</v>
      </c>
      <c r="BJ13" s="73">
        <v>13.896517408348332</v>
      </c>
      <c r="BK13" s="73">
        <v>14.427018358040778</v>
      </c>
      <c r="BL13" s="73">
        <v>13.83305578108334</v>
      </c>
      <c r="BM13" s="73">
        <v>15.028522294333479</v>
      </c>
      <c r="BN13" s="73">
        <v>14.565078088235261</v>
      </c>
      <c r="BO13" s="73">
        <v>15.779068418906355</v>
      </c>
      <c r="BP13" s="5">
        <v>13.059980093946622</v>
      </c>
      <c r="BQ13" s="5">
        <v>13.341345363304812</v>
      </c>
      <c r="BR13" s="5">
        <v>11.467985573683338</v>
      </c>
      <c r="BS13" s="5">
        <v>11.99502668815556</v>
      </c>
      <c r="BT13" s="5">
        <v>11.751287487010959</v>
      </c>
      <c r="BU13" s="5">
        <v>11.205679371880843</v>
      </c>
      <c r="BV13" s="5">
        <v>11.027698239422504</v>
      </c>
      <c r="BW13" s="5">
        <v>11.427183486979837</v>
      </c>
      <c r="BX13" s="5">
        <v>11.459593373818347</v>
      </c>
      <c r="BY13" s="5">
        <v>11.821777970739383</v>
      </c>
      <c r="BZ13" s="5">
        <v>11.79</v>
      </c>
      <c r="CA13" s="5">
        <v>11.86</v>
      </c>
      <c r="CB13" s="5">
        <v>10.130000000000001</v>
      </c>
      <c r="CC13" s="5">
        <v>10.026089262328707</v>
      </c>
      <c r="CD13" s="5">
        <v>10.208919150502831</v>
      </c>
      <c r="CE13" s="5">
        <v>9.249123552901775</v>
      </c>
      <c r="CF13" s="5">
        <v>10.0465170313029</v>
      </c>
      <c r="CG13" s="5">
        <v>10.124214363911708</v>
      </c>
      <c r="CH13" s="5">
        <v>10.8005316964374</v>
      </c>
      <c r="CI13" s="35">
        <v>13.1</v>
      </c>
      <c r="CJ13" s="35">
        <v>13.3</v>
      </c>
      <c r="CK13" s="35">
        <v>11.5</v>
      </c>
      <c r="CL13" s="35">
        <v>12</v>
      </c>
      <c r="CM13" s="35">
        <v>11.8</v>
      </c>
      <c r="CN13" s="35">
        <v>11.2</v>
      </c>
      <c r="CO13" s="35">
        <v>11</v>
      </c>
      <c r="CP13" s="35">
        <v>11.4</v>
      </c>
      <c r="CQ13" s="35">
        <v>11.5</v>
      </c>
      <c r="CR13" s="35">
        <v>11.7</v>
      </c>
      <c r="CS13" s="35">
        <v>11.8</v>
      </c>
      <c r="CT13" s="35">
        <v>11.9</v>
      </c>
      <c r="CU13" s="35">
        <v>10.1</v>
      </c>
      <c r="CV13" s="35">
        <v>10</v>
      </c>
      <c r="CW13" s="83">
        <v>93.969814953659835</v>
      </c>
      <c r="CX13" s="83">
        <v>115.6023823140163</v>
      </c>
      <c r="CY13" s="83">
        <v>121.60489461253964</v>
      </c>
      <c r="CZ13" s="83">
        <v>141.80618643922486</v>
      </c>
      <c r="DA13" s="83">
        <v>120.59920432378399</v>
      </c>
      <c r="DB13" s="83">
        <v>121.70132022701262</v>
      </c>
      <c r="DC13" s="83">
        <v>123.71376317074338</v>
      </c>
      <c r="DD13" s="83">
        <v>129.41949335941837</v>
      </c>
      <c r="DE13" s="83">
        <v>134.10689731975472</v>
      </c>
      <c r="DF13" s="83">
        <v>127.40433144527583</v>
      </c>
      <c r="DG13" s="83">
        <v>128.40744956427142</v>
      </c>
      <c r="DH13" s="83">
        <v>102.10296776108186</v>
      </c>
      <c r="DI13" s="83">
        <v>105.78880269650008</v>
      </c>
      <c r="DJ13" s="83">
        <v>137.25599554570317</v>
      </c>
      <c r="DK13" s="45">
        <v>4.7405509288917354E-2</v>
      </c>
      <c r="DL13" s="45">
        <v>0.10066046966731899</v>
      </c>
      <c r="DM13" s="45">
        <v>9.1981312705828294E-2</v>
      </c>
      <c r="DN13" s="38">
        <v>0.13339483394833948</v>
      </c>
      <c r="DO13" s="38">
        <v>0.13389406683337121</v>
      </c>
      <c r="DP13" s="35">
        <v>11.5</v>
      </c>
      <c r="DQ13" s="35">
        <v>11.8</v>
      </c>
      <c r="DR13" s="79">
        <v>165.7</v>
      </c>
      <c r="DS13" s="79">
        <v>157.1</v>
      </c>
      <c r="DT13" s="214">
        <v>8.8028985839653018E-2</v>
      </c>
      <c r="DU13" s="214">
        <v>8.2816601389655631E-2</v>
      </c>
      <c r="DV13" s="214">
        <v>8.9303906128773647E-2</v>
      </c>
      <c r="DW13" s="214">
        <v>9.0317561065155011E-2</v>
      </c>
      <c r="DX13" s="214">
        <v>9.6550369347983139E-2</v>
      </c>
      <c r="DY13" s="214">
        <v>9.7447651288478584E-2</v>
      </c>
      <c r="DZ13" s="214">
        <v>0.10306054653285734</v>
      </c>
      <c r="EA13" s="214">
        <v>0.10883058943802816</v>
      </c>
      <c r="EB13" s="214">
        <v>0.11611395814389133</v>
      </c>
      <c r="EC13" s="214">
        <v>0.11721893425009526</v>
      </c>
    </row>
    <row r="14" spans="1:133">
      <c r="A14" s="3" t="s">
        <v>542</v>
      </c>
      <c r="B14" s="3" t="s">
        <v>543</v>
      </c>
      <c r="C14" s="3">
        <v>6</v>
      </c>
      <c r="D14" s="3" t="s">
        <v>759</v>
      </c>
      <c r="E14" s="4">
        <v>10.286115499385641</v>
      </c>
      <c r="F14" s="4">
        <v>9.7350823045267489</v>
      </c>
      <c r="G14" s="4">
        <v>8.5307673647610578</v>
      </c>
      <c r="H14" s="4">
        <v>8.7875976184953224</v>
      </c>
      <c r="I14" s="4">
        <v>9.5726189867593678</v>
      </c>
      <c r="J14" s="4">
        <v>10.167794422497749</v>
      </c>
      <c r="K14" s="4">
        <v>7.5342289961797775</v>
      </c>
      <c r="L14" s="4">
        <v>8.1506574008759642</v>
      </c>
      <c r="M14" s="4">
        <v>6.843256488887457</v>
      </c>
      <c r="N14" s="4">
        <v>7.1977408029857566</v>
      </c>
      <c r="O14" s="4">
        <v>7.2967929612211533</v>
      </c>
      <c r="P14" s="4">
        <v>7.4295944593495618</v>
      </c>
      <c r="Q14" s="4">
        <v>8.5166006430250114</v>
      </c>
      <c r="R14" s="4">
        <v>9.6868229565499586</v>
      </c>
      <c r="S14" s="4">
        <v>10.013887138327551</v>
      </c>
      <c r="T14" s="4">
        <v>9.9021418075053091</v>
      </c>
      <c r="U14" s="4">
        <v>9.3610562464510796</v>
      </c>
      <c r="V14" s="4">
        <v>9.3239360782471081</v>
      </c>
      <c r="W14" s="4">
        <v>8.8755983955171196</v>
      </c>
      <c r="X14" s="4">
        <v>8.4877282763984674</v>
      </c>
      <c r="Y14" s="4">
        <v>9.7198963493098773</v>
      </c>
      <c r="Z14" s="4">
        <v>9.8000000000000007</v>
      </c>
      <c r="AA14" s="4"/>
      <c r="AB14" s="4">
        <v>12.160826163000104</v>
      </c>
      <c r="AC14" s="4">
        <v>11.225532733948947</v>
      </c>
      <c r="AD14" s="4">
        <v>13.153390545278331</v>
      </c>
      <c r="AE14" s="4">
        <v>13.794299759500381</v>
      </c>
      <c r="AF14" s="4">
        <v>9.3700538487824439</v>
      </c>
      <c r="AG14" s="4">
        <v>9.6966308784202937</v>
      </c>
      <c r="AH14" s="4">
        <v>9.1441901138422743</v>
      </c>
      <c r="AI14" s="4">
        <v>6.5641722034022552</v>
      </c>
      <c r="AJ14" s="4">
        <v>7.3999927202786111</v>
      </c>
      <c r="AK14" s="4">
        <v>8.1109550769394811</v>
      </c>
      <c r="AL14" s="4">
        <v>8.4871364304882029</v>
      </c>
      <c r="AM14" s="4">
        <v>9.554655251887386</v>
      </c>
      <c r="AN14" s="4">
        <v>8.5064709918703691</v>
      </c>
      <c r="AO14" s="4">
        <v>7.8708507472230762</v>
      </c>
      <c r="AP14" s="4">
        <v>8.1297462548949877</v>
      </c>
      <c r="AQ14" s="4">
        <v>8.4154690028462156</v>
      </c>
      <c r="AR14" s="4">
        <v>7.8261409332825504</v>
      </c>
      <c r="AS14" s="4">
        <v>7.1481140260723217</v>
      </c>
      <c r="AT14" s="4">
        <v>7.176334226393509</v>
      </c>
      <c r="AU14" s="4">
        <v>7.3251481042908999</v>
      </c>
      <c r="AV14" s="4">
        <v>8.0512459913995915</v>
      </c>
      <c r="AW14" s="4">
        <v>7.1</v>
      </c>
      <c r="AX14" s="4">
        <v>7.5</v>
      </c>
      <c r="AY14" s="73">
        <v>17.5935555027094</v>
      </c>
      <c r="AZ14" s="73">
        <v>17.750797416950373</v>
      </c>
      <c r="BA14" s="73">
        <v>13.832209282958436</v>
      </c>
      <c r="BB14" s="73">
        <v>14.510166005724766</v>
      </c>
      <c r="BC14" s="73">
        <v>14.502320691726711</v>
      </c>
      <c r="BD14" s="73">
        <v>12.747602330994795</v>
      </c>
      <c r="BE14" s="73">
        <v>13.454544574577525</v>
      </c>
      <c r="BF14" s="73">
        <v>14.036927945499759</v>
      </c>
      <c r="BG14" s="73">
        <v>12.532108527489475</v>
      </c>
      <c r="BH14" s="73">
        <v>12.580669593123694</v>
      </c>
      <c r="BI14" s="73">
        <v>13.794899642782116</v>
      </c>
      <c r="BJ14" s="73">
        <v>11.866846869152365</v>
      </c>
      <c r="BK14" s="73">
        <v>10.628352165304467</v>
      </c>
      <c r="BL14" s="73">
        <v>10.694570748906402</v>
      </c>
      <c r="BM14" s="73">
        <v>10.608401183775756</v>
      </c>
      <c r="BN14" s="73">
        <v>10.456068500273133</v>
      </c>
      <c r="BO14" s="73">
        <v>10.538029718294094</v>
      </c>
      <c r="BP14" s="5">
        <v>12.160826163000106</v>
      </c>
      <c r="BQ14" s="5">
        <v>11.225532733948949</v>
      </c>
      <c r="BR14" s="5">
        <v>13.153390545278334</v>
      </c>
      <c r="BS14" s="5">
        <v>13.794299759500376</v>
      </c>
      <c r="BT14" s="5">
        <v>9.3700538487824456</v>
      </c>
      <c r="BU14" s="5">
        <v>9.6966308784202937</v>
      </c>
      <c r="BV14" s="5">
        <v>9.1441901138422743</v>
      </c>
      <c r="BW14" s="5">
        <v>6.5641722034022543</v>
      </c>
      <c r="BX14" s="5">
        <v>7.3999927202786111</v>
      </c>
      <c r="BY14" s="5">
        <v>7.9650632506601493</v>
      </c>
      <c r="BZ14" s="5">
        <v>8.49</v>
      </c>
      <c r="CA14" s="5">
        <v>9.5500000000000007</v>
      </c>
      <c r="CB14" s="5">
        <v>8.51</v>
      </c>
      <c r="CC14" s="5">
        <v>7.87</v>
      </c>
      <c r="CD14" s="5">
        <v>8.1297462548949877</v>
      </c>
      <c r="CE14" s="5">
        <v>8.4154690028462156</v>
      </c>
      <c r="CF14" s="5">
        <v>7.8261409332825513</v>
      </c>
      <c r="CG14" s="5">
        <v>8.8083271578278808</v>
      </c>
      <c r="CH14" s="5">
        <v>8.9000508047752298</v>
      </c>
      <c r="CI14" s="35">
        <v>12.2</v>
      </c>
      <c r="CJ14" s="35">
        <v>11.2</v>
      </c>
      <c r="CK14" s="35">
        <v>13.2</v>
      </c>
      <c r="CL14" s="35">
        <v>13.8</v>
      </c>
      <c r="CM14" s="35">
        <v>9.4</v>
      </c>
      <c r="CN14" s="35">
        <v>9.6999999999999993</v>
      </c>
      <c r="CO14" s="35">
        <v>9.1</v>
      </c>
      <c r="CP14" s="35">
        <v>6.6</v>
      </c>
      <c r="CQ14" s="35">
        <v>7.4</v>
      </c>
      <c r="CR14" s="35">
        <v>8.1</v>
      </c>
      <c r="CS14" s="35">
        <v>8.5</v>
      </c>
      <c r="CT14" s="35">
        <v>9.6</v>
      </c>
      <c r="CU14" s="35">
        <v>8.5</v>
      </c>
      <c r="CV14" s="35">
        <v>7.9</v>
      </c>
      <c r="CW14" s="83">
        <v>370.96663755376369</v>
      </c>
      <c r="CX14" s="83">
        <v>435.76145447087703</v>
      </c>
      <c r="CY14" s="83">
        <v>614.33318020608158</v>
      </c>
      <c r="CZ14" s="83">
        <v>675.78305334947379</v>
      </c>
      <c r="DA14" s="83">
        <v>410.75319308473877</v>
      </c>
      <c r="DB14" s="83">
        <v>357.84262203068965</v>
      </c>
      <c r="DC14" s="83">
        <v>385.54550001893966</v>
      </c>
      <c r="DD14" s="83">
        <v>307.88998558764877</v>
      </c>
      <c r="DE14" s="83">
        <v>342.58315492021774</v>
      </c>
      <c r="DF14" s="83">
        <v>370.58556276275971</v>
      </c>
      <c r="DG14" s="83">
        <v>458.0169596863123</v>
      </c>
      <c r="DH14" s="83">
        <v>308.90877991699216</v>
      </c>
      <c r="DI14" s="83">
        <v>272.02296080172999</v>
      </c>
      <c r="DJ14" s="83">
        <v>317.23733267056849</v>
      </c>
      <c r="DK14" s="45">
        <v>9.1015854374632998E-2</v>
      </c>
      <c r="DL14" s="45">
        <v>0.11233933161953728</v>
      </c>
      <c r="DM14" s="45">
        <v>0.19001886468873264</v>
      </c>
      <c r="DN14" s="38">
        <v>0.12898172323759791</v>
      </c>
      <c r="DO14" s="38">
        <v>8.8344184858930169E-2</v>
      </c>
      <c r="DP14" s="35">
        <v>13.2</v>
      </c>
      <c r="DQ14" s="35">
        <v>8</v>
      </c>
      <c r="DR14" s="79">
        <v>114.1</v>
      </c>
      <c r="DS14" s="79">
        <v>64.599999999999994</v>
      </c>
      <c r="DT14" s="214">
        <v>7.0637447549336457E-2</v>
      </c>
      <c r="DU14" s="214">
        <v>7.1403138891468682E-2</v>
      </c>
      <c r="DV14" s="214">
        <v>6.6566959688613397E-2</v>
      </c>
      <c r="DW14" s="214">
        <v>7.1481140260723219E-2</v>
      </c>
      <c r="DX14" s="214">
        <v>7.176334226393509E-2</v>
      </c>
      <c r="DY14" s="214">
        <v>7.3251481042909003E-2</v>
      </c>
      <c r="DZ14" s="214">
        <v>8.0512459913995915E-2</v>
      </c>
      <c r="EA14" s="214">
        <v>7.1033042917429651E-2</v>
      </c>
      <c r="EB14" s="214">
        <v>7.5303062611235927E-2</v>
      </c>
      <c r="EC14" s="214">
        <v>7.6681171394209144E-2</v>
      </c>
    </row>
    <row r="15" spans="1:133">
      <c r="A15" s="3" t="s">
        <v>628</v>
      </c>
      <c r="B15" s="3" t="s">
        <v>629</v>
      </c>
      <c r="C15" s="3">
        <v>7</v>
      </c>
      <c r="D15" s="3" t="s">
        <v>641</v>
      </c>
      <c r="E15" s="4">
        <v>7.808988764044944</v>
      </c>
      <c r="F15" s="4">
        <v>8.5063630274614859</v>
      </c>
      <c r="G15" s="4">
        <v>10</v>
      </c>
      <c r="H15" s="4">
        <v>10.05050505050505</v>
      </c>
      <c r="I15" s="4">
        <v>10.572916666666666</v>
      </c>
      <c r="J15" s="4">
        <v>8.8854344784703869</v>
      </c>
      <c r="K15" s="4">
        <v>6.261367441677228</v>
      </c>
      <c r="L15" s="4">
        <v>8.0732110384823308</v>
      </c>
      <c r="M15" s="4">
        <v>7.1535551276731644</v>
      </c>
      <c r="N15" s="4">
        <v>7.9004177940587228</v>
      </c>
      <c r="O15" s="4">
        <v>9.0801817110708019</v>
      </c>
      <c r="P15" s="4">
        <v>7.2740317849362262</v>
      </c>
      <c r="Q15" s="4">
        <v>7.0385015991800275</v>
      </c>
      <c r="R15" s="4">
        <v>6.24095373169426</v>
      </c>
      <c r="S15" s="4">
        <v>6.3221052849572938</v>
      </c>
      <c r="T15" s="4">
        <v>10.355478974645481</v>
      </c>
      <c r="U15" s="4">
        <v>9.0183045780147584</v>
      </c>
      <c r="V15" s="4">
        <v>7.8779459539020626</v>
      </c>
      <c r="W15" s="4">
        <v>9.951102598741004</v>
      </c>
      <c r="X15" s="4">
        <v>12.380039337448508</v>
      </c>
      <c r="Y15" s="4">
        <v>9.7000412516942642</v>
      </c>
      <c r="Z15" s="4"/>
      <c r="AA15" s="4"/>
      <c r="AB15" s="4">
        <v>11.240386066940518</v>
      </c>
      <c r="AC15" s="4">
        <v>11.115548733589629</v>
      </c>
      <c r="AD15" s="4">
        <v>11.138228756146654</v>
      </c>
      <c r="AE15" s="4">
        <v>10.430040224752792</v>
      </c>
      <c r="AF15" s="4">
        <v>9.2219849667485505</v>
      </c>
      <c r="AG15" s="4">
        <v>9.2586863501672312</v>
      </c>
      <c r="AH15" s="4">
        <v>8.3477029306250952</v>
      </c>
      <c r="AI15" s="4">
        <v>9.3065399481921922</v>
      </c>
      <c r="AJ15" s="4">
        <v>8.4800021138991788</v>
      </c>
      <c r="AK15" s="4">
        <v>8.1571457400408853</v>
      </c>
      <c r="AL15" s="4">
        <v>7.0175715182112413</v>
      </c>
      <c r="AM15" s="4">
        <v>7.5117287897992489</v>
      </c>
      <c r="AN15" s="4">
        <v>7.3582115310628495</v>
      </c>
      <c r="AO15" s="4">
        <v>7.615976827026433</v>
      </c>
      <c r="AP15" s="4">
        <v>7.8136454710793721</v>
      </c>
      <c r="AQ15" s="4">
        <v>9.3621848863432362</v>
      </c>
      <c r="AR15" s="4">
        <v>8.9890923540557743</v>
      </c>
      <c r="AS15" s="4">
        <v>8.1964882527015241</v>
      </c>
      <c r="AT15" s="4">
        <v>9.5406606432417735</v>
      </c>
      <c r="AU15" s="4">
        <v>9.8361037849366717</v>
      </c>
      <c r="AV15" s="4">
        <v>10.398019100695329</v>
      </c>
      <c r="AW15" s="4">
        <v>9.9</v>
      </c>
      <c r="AX15" s="4">
        <v>10.5</v>
      </c>
      <c r="AY15" s="73">
        <v>15.223159954501462</v>
      </c>
      <c r="AZ15" s="73">
        <v>14.614775426454493</v>
      </c>
      <c r="BA15" s="73">
        <v>12.691851464693263</v>
      </c>
      <c r="BB15" s="73">
        <v>12.573517588724423</v>
      </c>
      <c r="BC15" s="73">
        <v>10.904263495723125</v>
      </c>
      <c r="BD15" s="73">
        <v>11.79322885101031</v>
      </c>
      <c r="BE15" s="73">
        <v>10.74460472722364</v>
      </c>
      <c r="BF15" s="73">
        <v>10.924120836888475</v>
      </c>
      <c r="BG15" s="73">
        <v>10.451991922854505</v>
      </c>
      <c r="BH15" s="73">
        <v>12.924953876839437</v>
      </c>
      <c r="BI15" s="73">
        <v>12.835863850790222</v>
      </c>
      <c r="BJ15" s="73">
        <v>11.377407241760023</v>
      </c>
      <c r="BK15" s="73">
        <v>10.863635958168212</v>
      </c>
      <c r="BL15" s="73">
        <v>11.706608207817542</v>
      </c>
      <c r="BM15" s="73">
        <v>11.43407952811592</v>
      </c>
      <c r="BN15" s="73">
        <v>11.995285204584013</v>
      </c>
      <c r="BO15" s="73">
        <v>14.471614862127478</v>
      </c>
      <c r="BP15" s="5">
        <v>11.240386066940516</v>
      </c>
      <c r="BQ15" s="5">
        <v>11.115548733589629</v>
      </c>
      <c r="BR15" s="5">
        <v>11.138228756146654</v>
      </c>
      <c r="BS15" s="5">
        <v>10.430040224752792</v>
      </c>
      <c r="BT15" s="5">
        <v>9.2219849667485505</v>
      </c>
      <c r="BU15" s="5">
        <v>9.2586863501672312</v>
      </c>
      <c r="BV15" s="5">
        <v>8.3477029306250969</v>
      </c>
      <c r="BW15" s="5">
        <v>9.3065399481921922</v>
      </c>
      <c r="BX15" s="5">
        <v>8.6095795916471545</v>
      </c>
      <c r="BY15" s="5">
        <v>8.2455544313766964</v>
      </c>
      <c r="BZ15" s="5">
        <v>7.02</v>
      </c>
      <c r="CA15" s="5">
        <v>7.51</v>
      </c>
      <c r="CB15" s="5">
        <v>7.36</v>
      </c>
      <c r="CC15" s="5">
        <v>7.6159768270264321</v>
      </c>
      <c r="CD15" s="5">
        <v>7.3929385667292227</v>
      </c>
      <c r="CE15" s="5">
        <v>6.3790675949453215</v>
      </c>
      <c r="CF15" s="5">
        <v>6.9364931701866288</v>
      </c>
      <c r="CG15" s="5">
        <v>7.5402297378621741</v>
      </c>
      <c r="CH15" s="5">
        <v>8.0383435694893812</v>
      </c>
      <c r="CI15" s="35">
        <v>11.2</v>
      </c>
      <c r="CJ15" s="35">
        <v>11.1</v>
      </c>
      <c r="CK15" s="35">
        <v>11.1</v>
      </c>
      <c r="CL15" s="35">
        <v>10.4</v>
      </c>
      <c r="CM15" s="35">
        <v>9.1999999999999993</v>
      </c>
      <c r="CN15" s="35">
        <v>9.3000000000000007</v>
      </c>
      <c r="CO15" s="35">
        <v>8.3000000000000007</v>
      </c>
      <c r="CP15" s="35">
        <v>9.3000000000000007</v>
      </c>
      <c r="CQ15" s="35">
        <v>8.6</v>
      </c>
      <c r="CR15" s="35">
        <v>8.1999999999999993</v>
      </c>
      <c r="CS15" s="35">
        <v>7</v>
      </c>
      <c r="CT15" s="35">
        <v>7.5</v>
      </c>
      <c r="CU15" s="35">
        <v>7.4</v>
      </c>
      <c r="CV15" s="35">
        <v>7.6</v>
      </c>
      <c r="CW15" s="83">
        <v>117.3076689963065</v>
      </c>
      <c r="CX15" s="83">
        <v>127.75363429352207</v>
      </c>
      <c r="CY15" s="83">
        <v>132.22596045827842</v>
      </c>
      <c r="CZ15" s="83">
        <v>136.91433352377925</v>
      </c>
      <c r="DA15" s="83">
        <v>110.02831641719325</v>
      </c>
      <c r="DB15" s="83">
        <v>102.54826036941061</v>
      </c>
      <c r="DC15" s="83">
        <v>119.40009427382046</v>
      </c>
      <c r="DD15" s="83">
        <v>135.82250175697595</v>
      </c>
      <c r="DE15" s="83">
        <v>125.0104635211238</v>
      </c>
      <c r="DF15" s="83">
        <v>109.28683288116582</v>
      </c>
      <c r="DG15" s="83">
        <v>102.73363109998486</v>
      </c>
      <c r="DH15" s="83">
        <v>63.150559464812609</v>
      </c>
      <c r="DI15" s="83">
        <v>64.080297610015919</v>
      </c>
      <c r="DJ15" s="83">
        <v>89.32667133671417</v>
      </c>
      <c r="DK15" s="45">
        <v>0.11239860950173812</v>
      </c>
      <c r="DL15" s="45">
        <v>8.7660148347943362E-2</v>
      </c>
      <c r="DM15" s="45">
        <v>0.1091125512498347</v>
      </c>
      <c r="DN15" s="38">
        <v>0.11289640591966174</v>
      </c>
      <c r="DO15" s="38">
        <v>9.4277025158971545E-2</v>
      </c>
      <c r="DP15" s="35">
        <v>11.1</v>
      </c>
      <c r="DQ15" s="35">
        <v>9.1</v>
      </c>
      <c r="DR15" s="79">
        <v>83.9</v>
      </c>
      <c r="DS15" s="79">
        <v>49.9</v>
      </c>
      <c r="DT15" s="214">
        <v>6.8003910054645358E-2</v>
      </c>
      <c r="DU15" s="214">
        <v>8.1532494932686758E-2</v>
      </c>
      <c r="DV15" s="214">
        <v>7.8704928856466905E-2</v>
      </c>
      <c r="DW15" s="214">
        <v>8.196488252701524E-2</v>
      </c>
      <c r="DX15" s="214">
        <v>9.5406606432417732E-2</v>
      </c>
      <c r="DY15" s="214">
        <v>9.8361037849366714E-2</v>
      </c>
      <c r="DZ15" s="214">
        <v>0.10370389503146879</v>
      </c>
      <c r="EA15" s="214">
        <v>9.9053056318558208E-2</v>
      </c>
      <c r="EB15" s="214">
        <v>0.10456680842858132</v>
      </c>
      <c r="EC15" s="214">
        <v>0.10082593552778381</v>
      </c>
    </row>
    <row r="16" spans="1:133">
      <c r="A16" s="3" t="s">
        <v>630</v>
      </c>
      <c r="B16" s="3" t="s">
        <v>631</v>
      </c>
      <c r="C16" s="3">
        <v>8</v>
      </c>
      <c r="D16" s="3" t="s">
        <v>759</v>
      </c>
      <c r="E16" s="4">
        <v>8.9065606361829008</v>
      </c>
      <c r="F16" s="4">
        <v>9.2367092367092365</v>
      </c>
      <c r="G16" s="4">
        <v>8.6322081575246141</v>
      </c>
      <c r="H16" s="4">
        <v>10.004559963520292</v>
      </c>
      <c r="I16" s="4">
        <v>9.9120234604105573</v>
      </c>
      <c r="J16" s="4">
        <v>8.8978524330496942</v>
      </c>
      <c r="K16" s="4">
        <v>8.4181793605044106</v>
      </c>
      <c r="L16" s="4">
        <v>7.8192356409466397</v>
      </c>
      <c r="M16" s="4">
        <v>9.6178515424432085</v>
      </c>
      <c r="N16" s="4">
        <v>10.199373846194041</v>
      </c>
      <c r="O16" s="4">
        <v>7.5104320798592541</v>
      </c>
      <c r="P16" s="4">
        <v>7.1930723302194508</v>
      </c>
      <c r="Q16" s="4">
        <v>7.2540603107632453</v>
      </c>
      <c r="R16" s="4">
        <v>6.767398223942318</v>
      </c>
      <c r="S16" s="4">
        <v>7.2208782803150813</v>
      </c>
      <c r="T16" s="4">
        <v>8.7825441973625971</v>
      </c>
      <c r="U16" s="4">
        <v>7.8480068253570066</v>
      </c>
      <c r="V16" s="4">
        <v>8.0549399665352031</v>
      </c>
      <c r="W16" s="4">
        <v>8.2686609751606053</v>
      </c>
      <c r="X16" s="4">
        <v>9.0524328090824309</v>
      </c>
      <c r="Y16" s="4">
        <v>10.993557848426125</v>
      </c>
      <c r="Z16" s="4">
        <v>11.4</v>
      </c>
      <c r="AA16" s="4"/>
      <c r="AB16" s="4">
        <v>11.582357040342794</v>
      </c>
      <c r="AC16" s="4">
        <v>11.038499250230666</v>
      </c>
      <c r="AD16" s="4">
        <v>10.556987469284449</v>
      </c>
      <c r="AE16" s="4">
        <v>10.429509352788511</v>
      </c>
      <c r="AF16" s="4">
        <v>10.208360147224797</v>
      </c>
      <c r="AG16" s="4">
        <v>10.206221241371685</v>
      </c>
      <c r="AH16" s="4">
        <v>9.384832862247098</v>
      </c>
      <c r="AI16" s="4">
        <v>12.007608439218108</v>
      </c>
      <c r="AJ16" s="4">
        <v>13.890293845014199</v>
      </c>
      <c r="AK16" s="4">
        <v>10.007631210392397</v>
      </c>
      <c r="AL16" s="4">
        <v>9.6424712277141715</v>
      </c>
      <c r="AM16" s="4">
        <v>10.288571224847541</v>
      </c>
      <c r="AN16" s="4">
        <v>10.976969077358989</v>
      </c>
      <c r="AO16" s="4">
        <v>10.898241062708637</v>
      </c>
      <c r="AP16" s="4">
        <v>11.111960096498878</v>
      </c>
      <c r="AQ16" s="4">
        <v>11.106231728691554</v>
      </c>
      <c r="AR16" s="4">
        <v>11.208661610233124</v>
      </c>
      <c r="AS16" s="4">
        <v>10.104640956455002</v>
      </c>
      <c r="AT16" s="4">
        <v>9.0441813242352431</v>
      </c>
      <c r="AU16" s="4">
        <v>9.3969368614588689</v>
      </c>
      <c r="AV16" s="4">
        <v>9.7061669967103832</v>
      </c>
      <c r="AW16" s="4">
        <v>10.199999999999999</v>
      </c>
      <c r="AX16" s="4">
        <v>9.8000000000000007</v>
      </c>
      <c r="AY16" s="73">
        <v>13.700200640780686</v>
      </c>
      <c r="AZ16" s="73">
        <v>14.069959013185516</v>
      </c>
      <c r="BA16" s="73">
        <v>13.777257232043583</v>
      </c>
      <c r="BB16" s="73">
        <v>14.496691536199544</v>
      </c>
      <c r="BC16" s="73">
        <v>12.651226981472707</v>
      </c>
      <c r="BD16" s="73">
        <v>15.110782973537354</v>
      </c>
      <c r="BE16" s="73">
        <v>16.489094144079989</v>
      </c>
      <c r="BF16" s="73">
        <v>13.593116264915967</v>
      </c>
      <c r="BG16" s="73">
        <v>13.381522034605167</v>
      </c>
      <c r="BH16" s="73">
        <v>14.080199673910201</v>
      </c>
      <c r="BI16" s="73">
        <v>14.204063812795678</v>
      </c>
      <c r="BJ16" s="73">
        <v>13.923449838903865</v>
      </c>
      <c r="BK16" s="73">
        <v>14.177019119152993</v>
      </c>
      <c r="BL16" s="73">
        <v>14.20026032832201</v>
      </c>
      <c r="BM16" s="73">
        <v>14.691799135800895</v>
      </c>
      <c r="BN16" s="73">
        <v>14.93010732273434</v>
      </c>
      <c r="BO16" s="73">
        <v>13.631730970239147</v>
      </c>
      <c r="BP16" s="5">
        <v>11.582357040342794</v>
      </c>
      <c r="BQ16" s="5">
        <v>11.038499250230666</v>
      </c>
      <c r="BR16" s="5">
        <v>10.556987469284449</v>
      </c>
      <c r="BS16" s="5">
        <v>10.429509352788511</v>
      </c>
      <c r="BT16" s="5">
        <v>10.208360147224795</v>
      </c>
      <c r="BU16" s="5">
        <v>10.206221241371685</v>
      </c>
      <c r="BV16" s="5">
        <v>9.3848328622470998</v>
      </c>
      <c r="BW16" s="5">
        <v>12.007608439218107</v>
      </c>
      <c r="BX16" s="5">
        <v>13.890293845014199</v>
      </c>
      <c r="BY16" s="5">
        <v>10.007630542819257</v>
      </c>
      <c r="BZ16" s="5">
        <v>9.64</v>
      </c>
      <c r="CA16" s="5">
        <v>10.29</v>
      </c>
      <c r="CB16" s="5">
        <v>10.98</v>
      </c>
      <c r="CC16" s="5">
        <v>10.898241062708637</v>
      </c>
      <c r="CD16" s="5">
        <v>11.111960096498878</v>
      </c>
      <c r="CE16" s="5">
        <v>11.106231728691554</v>
      </c>
      <c r="CF16" s="5">
        <v>11.208661610233124</v>
      </c>
      <c r="CG16" s="5">
        <v>11.51905180488763</v>
      </c>
      <c r="CH16" s="5">
        <v>10.441394791333744</v>
      </c>
      <c r="CI16" s="35">
        <v>11.6</v>
      </c>
      <c r="CJ16" s="35">
        <v>11</v>
      </c>
      <c r="CK16" s="35">
        <v>10.6</v>
      </c>
      <c r="CL16" s="35">
        <v>10.4</v>
      </c>
      <c r="CM16" s="35">
        <v>10.199999999999999</v>
      </c>
      <c r="CN16" s="35">
        <v>10.199999999999999</v>
      </c>
      <c r="CO16" s="35">
        <v>9.4</v>
      </c>
      <c r="CP16" s="35">
        <v>12</v>
      </c>
      <c r="CQ16" s="35">
        <v>13.9</v>
      </c>
      <c r="CR16" s="35">
        <v>10</v>
      </c>
      <c r="CS16" s="35">
        <v>9.6</v>
      </c>
      <c r="CT16" s="35">
        <v>10.3</v>
      </c>
      <c r="CU16" s="35">
        <v>11</v>
      </c>
      <c r="CV16" s="35">
        <v>10.9</v>
      </c>
      <c r="CW16" s="83">
        <v>159.72079033930487</v>
      </c>
      <c r="CX16" s="83">
        <v>191.85633551803502</v>
      </c>
      <c r="CY16" s="83">
        <v>190.6200741863924</v>
      </c>
      <c r="CZ16" s="83">
        <v>208.10565180806785</v>
      </c>
      <c r="DA16" s="83">
        <v>215.4292706841737</v>
      </c>
      <c r="DB16" s="83">
        <v>192.20746837359903</v>
      </c>
      <c r="DC16" s="83">
        <v>200.14193721811813</v>
      </c>
      <c r="DD16" s="83">
        <v>257.3570898828001</v>
      </c>
      <c r="DE16" s="83">
        <v>347.60551615121267</v>
      </c>
      <c r="DF16" s="83">
        <v>240.64110611736473</v>
      </c>
      <c r="DG16" s="83">
        <v>246.67879775540177</v>
      </c>
      <c r="DH16" s="83">
        <v>148.87892739176331</v>
      </c>
      <c r="DI16" s="83">
        <v>163.79283866965545</v>
      </c>
      <c r="DJ16" s="83">
        <v>210.07659731726534</v>
      </c>
      <c r="DK16" s="45">
        <v>0.13783201722900212</v>
      </c>
      <c r="DL16" s="45">
        <v>0.10851615947157349</v>
      </c>
      <c r="DM16" s="45">
        <v>9.2286309937456554E-2</v>
      </c>
      <c r="DN16" s="38">
        <v>0.12173792337590228</v>
      </c>
      <c r="DO16" s="38">
        <v>0.11977186311787072</v>
      </c>
      <c r="DP16" s="35">
        <v>10.6</v>
      </c>
      <c r="DQ16" s="35">
        <v>10.1</v>
      </c>
      <c r="DR16" s="79">
        <v>97</v>
      </c>
      <c r="DS16" s="79">
        <v>118.6</v>
      </c>
      <c r="DT16" s="214">
        <v>9.7196990105431647E-2</v>
      </c>
      <c r="DU16" s="214">
        <v>9.6230969890965523E-2</v>
      </c>
      <c r="DV16" s="214">
        <v>9.7269027946105216E-2</v>
      </c>
      <c r="DW16" s="214">
        <v>0.10104640956455002</v>
      </c>
      <c r="DX16" s="214">
        <v>9.044181324235244E-2</v>
      </c>
      <c r="DY16" s="214">
        <v>9.3969368614588683E-2</v>
      </c>
      <c r="DZ16" s="214">
        <v>9.9290632516236224E-2</v>
      </c>
      <c r="EA16" s="214">
        <v>0.10152250581043307</v>
      </c>
      <c r="EB16" s="214">
        <v>9.7687261986648982E-2</v>
      </c>
      <c r="EC16" s="214">
        <v>9.4701228543411231E-2</v>
      </c>
    </row>
    <row r="17" spans="1:133">
      <c r="A17" s="3" t="s">
        <v>632</v>
      </c>
      <c r="B17" s="3" t="s">
        <v>633</v>
      </c>
      <c r="C17" s="3">
        <v>9</v>
      </c>
      <c r="D17" s="3" t="s">
        <v>641</v>
      </c>
      <c r="E17" s="4">
        <v>4.460093896713615</v>
      </c>
      <c r="F17" s="4">
        <v>5.1685393258426968</v>
      </c>
      <c r="G17" s="4">
        <v>5.0505050505050502</v>
      </c>
      <c r="H17" s="4">
        <v>5.0990816819719678</v>
      </c>
      <c r="I17" s="4">
        <v>6.2328668301832346</v>
      </c>
      <c r="J17" s="4">
        <v>5.2978386926726415</v>
      </c>
      <c r="K17" s="4">
        <v>2.3524136900313852</v>
      </c>
      <c r="L17" s="4">
        <v>6.3757915460089034</v>
      </c>
      <c r="M17" s="4">
        <v>5.4497385438438952</v>
      </c>
      <c r="N17" s="4">
        <v>7.2147290406194857</v>
      </c>
      <c r="O17" s="4">
        <v>6.4672897538168588</v>
      </c>
      <c r="P17" s="4">
        <v>7.4999282197200605</v>
      </c>
      <c r="Q17" s="4">
        <v>6.551996009641238</v>
      </c>
      <c r="R17" s="4">
        <v>6.8654074946218904</v>
      </c>
      <c r="S17" s="4">
        <v>8.0184077599299304</v>
      </c>
      <c r="T17" s="4">
        <v>10.209456688488237</v>
      </c>
      <c r="U17" s="4">
        <v>10.703616055227567</v>
      </c>
      <c r="V17" s="4">
        <v>10.422592860528674</v>
      </c>
      <c r="W17" s="4">
        <v>7.0070622176812689</v>
      </c>
      <c r="X17" s="4">
        <v>13.754483140621755</v>
      </c>
      <c r="Y17" s="4">
        <v>11.209516822136044</v>
      </c>
      <c r="Z17" s="4"/>
      <c r="AA17" s="4"/>
      <c r="AB17" s="4">
        <v>10.063876090184566</v>
      </c>
      <c r="AC17" s="4">
        <v>8.5586265382606648</v>
      </c>
      <c r="AD17" s="4">
        <v>6.9564527469521158</v>
      </c>
      <c r="AE17" s="4">
        <v>7.5723563207452909</v>
      </c>
      <c r="AF17" s="4">
        <v>7.3370366117767869</v>
      </c>
      <c r="AG17" s="4">
        <v>8.7107778970453023</v>
      </c>
      <c r="AH17" s="4">
        <v>8.4155279377807712</v>
      </c>
      <c r="AI17" s="4">
        <v>10.149031545241872</v>
      </c>
      <c r="AJ17" s="4">
        <v>9.1558447612775833</v>
      </c>
      <c r="AK17" s="4">
        <v>8.9173510029112091</v>
      </c>
      <c r="AL17" s="4">
        <v>8.2589548277770106</v>
      </c>
      <c r="AM17" s="4">
        <v>10.353631124587501</v>
      </c>
      <c r="AN17" s="4">
        <v>9.9309009715737933</v>
      </c>
      <c r="AO17" s="4">
        <v>8.8322884247069666</v>
      </c>
      <c r="AP17" s="4">
        <v>11.470354540156787</v>
      </c>
      <c r="AQ17" s="4">
        <v>5.9962622311605696</v>
      </c>
      <c r="AR17" s="4">
        <v>7.8501197171704922</v>
      </c>
      <c r="AS17" s="4">
        <v>7.5264805886788952</v>
      </c>
      <c r="AT17" s="4">
        <v>10.181779290650793</v>
      </c>
      <c r="AU17" s="4">
        <v>9.5609236680932259</v>
      </c>
      <c r="AV17" s="4">
        <v>9.7866289026910458</v>
      </c>
      <c r="AW17" s="4">
        <v>10.5</v>
      </c>
      <c r="AX17" s="4">
        <v>10.7</v>
      </c>
      <c r="AY17" s="73">
        <v>10.171312600632097</v>
      </c>
      <c r="AZ17" s="73">
        <v>10.367077105088732</v>
      </c>
      <c r="BA17" s="73">
        <v>10.132793018220404</v>
      </c>
      <c r="BB17" s="73">
        <v>11.320893493150152</v>
      </c>
      <c r="BC17" s="73">
        <v>10.789745682798353</v>
      </c>
      <c r="BD17" s="73">
        <v>11.694762730744909</v>
      </c>
      <c r="BE17" s="73">
        <v>11.412665600161597</v>
      </c>
      <c r="BF17" s="73">
        <v>11.605980737247473</v>
      </c>
      <c r="BG17" s="73">
        <v>10.310455100495632</v>
      </c>
      <c r="BH17" s="73">
        <v>12.296003921985225</v>
      </c>
      <c r="BI17" s="73">
        <v>12.633614503054602</v>
      </c>
      <c r="BJ17" s="73">
        <v>11.462718785985054</v>
      </c>
      <c r="BK17" s="73">
        <v>10.395390626093876</v>
      </c>
      <c r="BL17" s="73">
        <v>6.84878160576491</v>
      </c>
      <c r="BM17" s="73">
        <v>13.40405234412656</v>
      </c>
      <c r="BN17" s="73">
        <v>13.304398378236174</v>
      </c>
      <c r="BO17" s="73">
        <v>13.945546720729515</v>
      </c>
      <c r="BP17" s="5">
        <v>10.063876090184568</v>
      </c>
      <c r="BQ17" s="5">
        <v>8.5586265382606648</v>
      </c>
      <c r="BR17" s="5">
        <v>6.9564527469521158</v>
      </c>
      <c r="BS17" s="5">
        <v>7.5723563207452917</v>
      </c>
      <c r="BT17" s="5">
        <v>7.337036611776786</v>
      </c>
      <c r="BU17" s="5">
        <v>8.7107778970453023</v>
      </c>
      <c r="BV17" s="5">
        <v>8.4155279377807712</v>
      </c>
      <c r="BW17" s="5">
        <v>10.149031545241874</v>
      </c>
      <c r="BX17" s="5">
        <v>9.1442287546186805</v>
      </c>
      <c r="BY17" s="5">
        <v>8.4976600245879848</v>
      </c>
      <c r="BZ17" s="5">
        <v>8.26</v>
      </c>
      <c r="CA17" s="5">
        <v>10.35</v>
      </c>
      <c r="CB17" s="5">
        <v>9.93</v>
      </c>
      <c r="CC17" s="5">
        <v>8.8322884247069684</v>
      </c>
      <c r="CD17" s="5">
        <v>11.470354540156793</v>
      </c>
      <c r="CE17" s="5">
        <v>5.9962622311605696</v>
      </c>
      <c r="CF17" s="5">
        <v>7.8501197171704922</v>
      </c>
      <c r="CG17" s="5">
        <v>8.3886593264444702</v>
      </c>
      <c r="CH17" s="5">
        <v>11.32968207540608</v>
      </c>
      <c r="CI17" s="35">
        <v>10.1</v>
      </c>
      <c r="CJ17" s="35">
        <v>8.6</v>
      </c>
      <c r="CK17" s="35">
        <v>7</v>
      </c>
      <c r="CL17" s="35">
        <v>7.6</v>
      </c>
      <c r="CM17" s="35">
        <v>7.3</v>
      </c>
      <c r="CN17" s="35">
        <v>8.6999999999999993</v>
      </c>
      <c r="CO17" s="35">
        <v>8.4</v>
      </c>
      <c r="CP17" s="35">
        <v>10.1</v>
      </c>
      <c r="CQ17" s="35">
        <v>9.1</v>
      </c>
      <c r="CR17" s="35">
        <v>8.9</v>
      </c>
      <c r="CS17" s="35">
        <v>8.3000000000000007</v>
      </c>
      <c r="CT17" s="35">
        <v>10.4</v>
      </c>
      <c r="CU17" s="35">
        <v>9.9</v>
      </c>
      <c r="CV17" s="35">
        <v>8.8000000000000007</v>
      </c>
      <c r="CW17" s="83">
        <v>103.71950595331084</v>
      </c>
      <c r="CX17" s="83">
        <v>90.589695381839505</v>
      </c>
      <c r="CY17" s="83">
        <v>88.021575496639159</v>
      </c>
      <c r="CZ17" s="83">
        <v>99.451787953219721</v>
      </c>
      <c r="DA17" s="83">
        <v>90.637293908032419</v>
      </c>
      <c r="DB17" s="83">
        <v>93.042644924022241</v>
      </c>
      <c r="DC17" s="83">
        <v>109.12597007998882</v>
      </c>
      <c r="DD17" s="83">
        <v>134.21909902713867</v>
      </c>
      <c r="DE17" s="83">
        <v>131.50646478688751</v>
      </c>
      <c r="DF17" s="83">
        <v>116.09928730236373</v>
      </c>
      <c r="DG17" s="83">
        <v>113.18427884441843</v>
      </c>
      <c r="DH17" s="83">
        <v>79.013694548883478</v>
      </c>
      <c r="DI17" s="83">
        <v>81.698705475906166</v>
      </c>
      <c r="DJ17" s="83">
        <v>96.796275140696935</v>
      </c>
      <c r="DK17" s="45">
        <v>9.4931617055510856E-2</v>
      </c>
      <c r="DL17" s="45">
        <v>5.7446808510638298E-2</v>
      </c>
      <c r="DM17" s="45">
        <v>9.3410955279174382E-2</v>
      </c>
      <c r="DN17" s="38">
        <v>0.13546890202829132</v>
      </c>
      <c r="DO17" s="38">
        <v>0.10838162082755246</v>
      </c>
      <c r="DP17" s="35">
        <v>7</v>
      </c>
      <c r="DQ17" s="35">
        <v>8.5</v>
      </c>
      <c r="DR17" s="79">
        <v>107.1</v>
      </c>
      <c r="DS17" s="79">
        <v>120.4</v>
      </c>
      <c r="DT17" s="214">
        <v>0.10302439806693862</v>
      </c>
      <c r="DU17" s="214">
        <v>5.4350209790261714E-2</v>
      </c>
      <c r="DV17" s="214">
        <v>7.1375956360676562E-2</v>
      </c>
      <c r="DW17" s="214">
        <v>7.5264805886788952E-2</v>
      </c>
      <c r="DX17" s="214">
        <v>0.10181779290650793</v>
      </c>
      <c r="DY17" s="214">
        <v>9.5609236680932255E-2</v>
      </c>
      <c r="DZ17" s="214">
        <v>9.7866289026910455E-2</v>
      </c>
      <c r="EA17" s="214">
        <v>0.10450707306364677</v>
      </c>
      <c r="EB17" s="214">
        <v>0.10740067105544469</v>
      </c>
      <c r="EC17" s="214">
        <v>0.11238646562204077</v>
      </c>
    </row>
    <row r="18" spans="1:133">
      <c r="A18" s="3" t="s">
        <v>634</v>
      </c>
      <c r="B18" s="3" t="s">
        <v>715</v>
      </c>
      <c r="C18" s="3">
        <v>10</v>
      </c>
      <c r="D18" s="3" t="s">
        <v>664</v>
      </c>
      <c r="E18" s="4">
        <v>17.542016806722689</v>
      </c>
      <c r="F18" s="4">
        <v>16.779765576804444</v>
      </c>
      <c r="G18" s="4">
        <v>11.854863934939006</v>
      </c>
      <c r="H18" s="4">
        <v>13.846662260409781</v>
      </c>
      <c r="I18" s="4">
        <v>8.0027023707161291</v>
      </c>
      <c r="J18" s="4">
        <v>12.683960058317057</v>
      </c>
      <c r="K18" s="4">
        <v>9.0482457229409263</v>
      </c>
      <c r="L18" s="4">
        <v>8.5115735286120842</v>
      </c>
      <c r="M18" s="4">
        <v>7.2776703468103134</v>
      </c>
      <c r="N18" s="4">
        <v>8.2027561339843231</v>
      </c>
      <c r="O18" s="4">
        <v>10.19544906353728</v>
      </c>
      <c r="P18" s="4">
        <v>13.459281120955657</v>
      </c>
      <c r="Q18" s="4">
        <v>11.421315936783506</v>
      </c>
      <c r="R18" s="4">
        <v>14.18105400379433</v>
      </c>
      <c r="S18" s="4">
        <v>9.9260451528232547</v>
      </c>
      <c r="T18" s="4">
        <v>13.844405379449229</v>
      </c>
      <c r="U18" s="4">
        <v>12.685202991337565</v>
      </c>
      <c r="V18" s="4">
        <v>16.555861946346813</v>
      </c>
      <c r="W18" s="4">
        <v>20.001084634661972</v>
      </c>
      <c r="X18" s="4">
        <v>18.53785936206873</v>
      </c>
      <c r="Y18" s="4">
        <v>11.178199305370024</v>
      </c>
      <c r="Z18" s="4">
        <v>10.6</v>
      </c>
      <c r="AA18" s="4">
        <v>13.5</v>
      </c>
      <c r="AB18" s="4">
        <v>12.010929383703761</v>
      </c>
      <c r="AC18" s="4">
        <v>12.185441195908998</v>
      </c>
      <c r="AD18" s="4">
        <v>9.8765838952894143</v>
      </c>
      <c r="AE18" s="4">
        <v>10.302795330744511</v>
      </c>
      <c r="AF18" s="4">
        <v>9.6177063159716063</v>
      </c>
      <c r="AG18" s="4">
        <v>9.0425155205594585</v>
      </c>
      <c r="AH18" s="4">
        <v>9.7983262711131012</v>
      </c>
      <c r="AI18" s="4">
        <v>9.6339176983267709</v>
      </c>
      <c r="AJ18" s="4">
        <v>8.9953215645836142</v>
      </c>
      <c r="AK18" s="4">
        <v>9.3734217239895319</v>
      </c>
      <c r="AL18" s="4">
        <v>8.6725175587280496</v>
      </c>
      <c r="AM18" s="4">
        <v>10.719705829336016</v>
      </c>
      <c r="AN18" s="4">
        <v>10.594548717365077</v>
      </c>
      <c r="AO18" s="4">
        <v>9.69452123752896</v>
      </c>
      <c r="AP18" s="4">
        <v>10.265739778445326</v>
      </c>
      <c r="AQ18" s="4">
        <v>10.717702992724966</v>
      </c>
      <c r="AR18" s="4">
        <v>10.84849003779042</v>
      </c>
      <c r="AS18" s="4">
        <v>11.356698533799396</v>
      </c>
      <c r="AT18" s="4">
        <v>10.975087689863583</v>
      </c>
      <c r="AU18" s="4">
        <v>10.945982492473647</v>
      </c>
      <c r="AV18" s="4">
        <v>10.437605379160328</v>
      </c>
      <c r="AW18" s="4">
        <v>12</v>
      </c>
      <c r="AX18" s="4">
        <v>11.9</v>
      </c>
      <c r="AY18" s="73">
        <v>14.135934100658393</v>
      </c>
      <c r="AZ18" s="73">
        <v>15.047426373697792</v>
      </c>
      <c r="BA18" s="73">
        <v>14.202058764997588</v>
      </c>
      <c r="BB18" s="73">
        <v>15.574929599574993</v>
      </c>
      <c r="BC18" s="73">
        <v>17.152671573841978</v>
      </c>
      <c r="BD18" s="73">
        <v>17.13288776973565</v>
      </c>
      <c r="BE18" s="73">
        <v>16.749155323050829</v>
      </c>
      <c r="BF18" s="73">
        <v>17.147917998854648</v>
      </c>
      <c r="BG18" s="73">
        <v>16.538859603670993</v>
      </c>
      <c r="BH18" s="73">
        <v>20.212976649169352</v>
      </c>
      <c r="BI18" s="73">
        <v>18.032528192190302</v>
      </c>
      <c r="BJ18" s="73">
        <v>16.587003237865162</v>
      </c>
      <c r="BK18" s="73">
        <v>15.745681172351835</v>
      </c>
      <c r="BL18" s="73">
        <v>16.563329949631907</v>
      </c>
      <c r="BM18" s="73">
        <v>16.077526127610543</v>
      </c>
      <c r="BN18" s="73">
        <v>17.340948572721089</v>
      </c>
      <c r="BO18" s="73">
        <v>16.856475408573743</v>
      </c>
      <c r="BP18" s="5">
        <v>12.010929383703761</v>
      </c>
      <c r="BQ18" s="5">
        <v>12.185441195909</v>
      </c>
      <c r="BR18" s="5">
        <v>9.8765838952894143</v>
      </c>
      <c r="BS18" s="5">
        <v>10.302795330744509</v>
      </c>
      <c r="BT18" s="5">
        <v>9.6177063159716081</v>
      </c>
      <c r="BU18" s="5">
        <v>9.0425155205594567</v>
      </c>
      <c r="BV18" s="5">
        <v>9.7983262711130994</v>
      </c>
      <c r="BW18" s="5">
        <v>9.6339176983267709</v>
      </c>
      <c r="BX18" s="5">
        <v>8.995321564583616</v>
      </c>
      <c r="BY18" s="5">
        <v>8.8114796453961599</v>
      </c>
      <c r="BZ18" s="5">
        <v>8.67</v>
      </c>
      <c r="CA18" s="5">
        <v>10.72</v>
      </c>
      <c r="CB18" s="5">
        <v>10.59</v>
      </c>
      <c r="CC18" s="5">
        <v>9.69452123752896</v>
      </c>
      <c r="CD18" s="5">
        <v>10.265739778445328</v>
      </c>
      <c r="CE18" s="5">
        <v>10.717702992724966</v>
      </c>
      <c r="CF18" s="5">
        <v>10.848490037790421</v>
      </c>
      <c r="CG18" s="5">
        <v>11.455852926510415</v>
      </c>
      <c r="CH18" s="5">
        <v>11.061798475416765</v>
      </c>
      <c r="CI18" s="35">
        <v>12</v>
      </c>
      <c r="CJ18" s="35">
        <v>12.2</v>
      </c>
      <c r="CK18" s="35">
        <v>9.9</v>
      </c>
      <c r="CL18" s="35">
        <v>10.3</v>
      </c>
      <c r="CM18" s="35">
        <v>9.6</v>
      </c>
      <c r="CN18" s="35">
        <v>9</v>
      </c>
      <c r="CO18" s="35">
        <v>9.8000000000000007</v>
      </c>
      <c r="CP18" s="35">
        <v>9.6</v>
      </c>
      <c r="CQ18" s="35">
        <v>9</v>
      </c>
      <c r="CR18" s="35">
        <v>9.4</v>
      </c>
      <c r="CS18" s="35">
        <v>8.6999999999999993</v>
      </c>
      <c r="CT18" s="35">
        <v>10.7</v>
      </c>
      <c r="CU18" s="35">
        <v>10.6</v>
      </c>
      <c r="CV18" s="35">
        <v>9.6999999999999993</v>
      </c>
      <c r="CW18" s="83">
        <v>131.65007279806878</v>
      </c>
      <c r="CX18" s="83">
        <v>112.83439786191379</v>
      </c>
      <c r="CY18" s="83">
        <v>121.08012467972934</v>
      </c>
      <c r="CZ18" s="83">
        <v>131.392493461329</v>
      </c>
      <c r="DA18" s="83">
        <v>123.16891040893692</v>
      </c>
      <c r="DB18" s="83">
        <v>108.5571609962501</v>
      </c>
      <c r="DC18" s="83">
        <v>112.36539356509344</v>
      </c>
      <c r="DD18" s="83">
        <v>119.00193926843123</v>
      </c>
      <c r="DE18" s="83">
        <v>119.8687404714376</v>
      </c>
      <c r="DF18" s="83">
        <v>122.49737449516428</v>
      </c>
      <c r="DG18" s="83">
        <v>119.34531486394424</v>
      </c>
      <c r="DH18" s="83">
        <v>84.999617998982217</v>
      </c>
      <c r="DI18" s="83">
        <v>87.728064023195799</v>
      </c>
      <c r="DJ18" s="83">
        <v>101.67243930599943</v>
      </c>
      <c r="DK18" s="45">
        <v>0.11122448979591837</v>
      </c>
      <c r="DL18" s="45">
        <v>0.21921515561569691</v>
      </c>
      <c r="DM18" s="45">
        <v>0.12202106985782959</v>
      </c>
      <c r="DN18" s="38">
        <v>0.14443750557587653</v>
      </c>
      <c r="DO18" s="38">
        <v>9.8740698340011437E-2</v>
      </c>
      <c r="DP18" s="35">
        <v>9.9</v>
      </c>
      <c r="DQ18" s="35">
        <v>8.8000000000000007</v>
      </c>
      <c r="DR18" s="79">
        <v>118.6</v>
      </c>
      <c r="DS18" s="79">
        <v>104.6</v>
      </c>
      <c r="DT18" s="214">
        <v>0.10173794516811957</v>
      </c>
      <c r="DU18" s="214">
        <v>0.10695008485465662</v>
      </c>
      <c r="DV18" s="214">
        <v>0.10810400928122522</v>
      </c>
      <c r="DW18" s="214">
        <v>0.11356698533799396</v>
      </c>
      <c r="DX18" s="214">
        <v>0.10975087689863583</v>
      </c>
      <c r="DY18" s="214">
        <v>0.10945982492473647</v>
      </c>
      <c r="DZ18" s="214">
        <v>0.10437605379160328</v>
      </c>
      <c r="EA18" s="214">
        <v>0.12023003965469599</v>
      </c>
      <c r="EB18" s="214">
        <v>0.11859249834592867</v>
      </c>
      <c r="EC18" s="214">
        <v>0.11883277925422644</v>
      </c>
    </row>
    <row r="19" spans="1:133">
      <c r="A19" s="3" t="s">
        <v>716</v>
      </c>
      <c r="B19" s="3" t="s">
        <v>717</v>
      </c>
      <c r="C19" s="3">
        <v>11</v>
      </c>
      <c r="D19" s="3" t="s">
        <v>541</v>
      </c>
      <c r="E19" s="4">
        <v>3.3092037228541886</v>
      </c>
      <c r="F19" s="4">
        <v>2.4681528662420384</v>
      </c>
      <c r="G19" s="4">
        <v>3.6781609195402298</v>
      </c>
      <c r="H19" s="4">
        <v>5.7535046728971961</v>
      </c>
      <c r="I19" s="4">
        <v>8.3811916726489599</v>
      </c>
      <c r="J19" s="4">
        <v>12.127371273712738</v>
      </c>
      <c r="K19" s="4">
        <v>8.6277422768529437</v>
      </c>
      <c r="L19" s="4">
        <v>7.0127353999153614</v>
      </c>
      <c r="M19" s="4">
        <v>7.3925458761680316</v>
      </c>
      <c r="N19" s="4">
        <v>5.9845532254550857</v>
      </c>
      <c r="O19" s="4">
        <v>5.4269462039620526</v>
      </c>
      <c r="P19" s="4">
        <v>5.6346838528122216</v>
      </c>
      <c r="Q19" s="4">
        <v>6.6872551913130227</v>
      </c>
      <c r="R19" s="4">
        <v>5.5138763002324964</v>
      </c>
      <c r="S19" s="4">
        <v>7.3029421582184924</v>
      </c>
      <c r="T19" s="4">
        <v>7.4222173388689638</v>
      </c>
      <c r="U19" s="4">
        <v>7.5083853452176594</v>
      </c>
      <c r="V19" s="4">
        <v>8.7491190671941368</v>
      </c>
      <c r="W19" s="4">
        <v>10.109306210876294</v>
      </c>
      <c r="X19" s="4">
        <v>11.273701463062558</v>
      </c>
      <c r="Y19" s="4">
        <v>11.801758973140004</v>
      </c>
      <c r="Z19" s="4">
        <v>12</v>
      </c>
      <c r="AA19" s="4">
        <v>13</v>
      </c>
      <c r="AB19" s="4">
        <v>11.736253412893776</v>
      </c>
      <c r="AC19" s="4">
        <v>12.594374888870471</v>
      </c>
      <c r="AD19" s="4">
        <v>11.413484114434395</v>
      </c>
      <c r="AE19" s="4">
        <v>12.197482465261036</v>
      </c>
      <c r="AF19" s="4">
        <v>11.299774410501607</v>
      </c>
      <c r="AG19" s="4">
        <v>11.360107511788765</v>
      </c>
      <c r="AH19" s="4">
        <v>12.426868158922069</v>
      </c>
      <c r="AI19" s="4">
        <v>11.596284315629736</v>
      </c>
      <c r="AJ19" s="4">
        <v>11.0251206899192</v>
      </c>
      <c r="AK19" s="4">
        <v>10.996657445023516</v>
      </c>
      <c r="AL19" s="4">
        <v>9.4322306915316823</v>
      </c>
      <c r="AM19" s="4">
        <v>11.115245473000758</v>
      </c>
      <c r="AN19" s="4">
        <v>10.521689796201134</v>
      </c>
      <c r="AO19" s="4">
        <v>10.343281163463242</v>
      </c>
      <c r="AP19" s="4">
        <v>10.500055697525429</v>
      </c>
      <c r="AQ19" s="4">
        <v>10.500055697528145</v>
      </c>
      <c r="AR19" s="4">
        <v>10.499999999998549</v>
      </c>
      <c r="AS19" s="4">
        <v>11.142335072109811</v>
      </c>
      <c r="AT19" s="4">
        <v>10.081835228308524</v>
      </c>
      <c r="AU19" s="4">
        <v>12.453615043321998</v>
      </c>
      <c r="AV19" s="4">
        <v>12.426711974306544</v>
      </c>
      <c r="AW19" s="4">
        <v>12.4</v>
      </c>
      <c r="AX19" s="4">
        <v>12.5</v>
      </c>
      <c r="AY19" s="73">
        <v>16.381403717174052</v>
      </c>
      <c r="AZ19" s="73">
        <v>16.88983146026851</v>
      </c>
      <c r="BA19" s="73">
        <v>15.919158987552024</v>
      </c>
      <c r="BB19" s="73">
        <v>16.490652273919782</v>
      </c>
      <c r="BC19" s="73">
        <v>17.631102905207094</v>
      </c>
      <c r="BD19" s="73">
        <v>16.11567851441124</v>
      </c>
      <c r="BE19" s="73">
        <v>15.22627730843633</v>
      </c>
      <c r="BF19" s="73">
        <v>15.737140562987213</v>
      </c>
      <c r="BG19" s="73">
        <v>13.517246267500543</v>
      </c>
      <c r="BH19" s="73">
        <v>15.754424525080331</v>
      </c>
      <c r="BI19" s="73">
        <v>16.61321370136293</v>
      </c>
      <c r="BJ19" s="73">
        <v>15.477146610328715</v>
      </c>
      <c r="BK19" s="73">
        <v>14.561997574759594</v>
      </c>
      <c r="BL19" s="73">
        <v>15.450997694464974</v>
      </c>
      <c r="BM19" s="73">
        <v>14.531133007832691</v>
      </c>
      <c r="BN19" s="73">
        <v>16.557830366970876</v>
      </c>
      <c r="BO19" s="73">
        <v>17.924420253599639</v>
      </c>
      <c r="BP19" s="5">
        <v>11.736253412893774</v>
      </c>
      <c r="BQ19" s="5">
        <v>12.594374888870473</v>
      </c>
      <c r="BR19" s="5">
        <v>11.413484114434395</v>
      </c>
      <c r="BS19" s="5">
        <v>12.197482465261038</v>
      </c>
      <c r="BT19" s="5">
        <v>11.299774410501607</v>
      </c>
      <c r="BU19" s="5">
        <v>11.360107511788765</v>
      </c>
      <c r="BV19" s="5">
        <v>12.426868158922069</v>
      </c>
      <c r="BW19" s="5">
        <v>11.596284315629736</v>
      </c>
      <c r="BX19" s="5">
        <v>11.0251206899192</v>
      </c>
      <c r="BY19" s="5">
        <v>10.996657445023514</v>
      </c>
      <c r="BZ19" s="5">
        <v>9.43</v>
      </c>
      <c r="CA19" s="5">
        <v>11.12</v>
      </c>
      <c r="CB19" s="5">
        <v>10.52</v>
      </c>
      <c r="CC19" s="5">
        <v>10.34</v>
      </c>
      <c r="CD19" s="5">
        <v>10.500055697525427</v>
      </c>
      <c r="CE19" s="5">
        <v>10.500055697528145</v>
      </c>
      <c r="CF19" s="5">
        <v>10.499999999998549</v>
      </c>
      <c r="CG19" s="5">
        <v>12.000000000000998</v>
      </c>
      <c r="CH19" s="5">
        <v>10.939924606788953</v>
      </c>
      <c r="CI19" s="35">
        <v>11.7</v>
      </c>
      <c r="CJ19" s="35">
        <v>12.6</v>
      </c>
      <c r="CK19" s="35">
        <v>11.4</v>
      </c>
      <c r="CL19" s="35">
        <v>12.2</v>
      </c>
      <c r="CM19" s="35">
        <v>11.3</v>
      </c>
      <c r="CN19" s="35">
        <v>11.4</v>
      </c>
      <c r="CO19" s="35">
        <v>12.4</v>
      </c>
      <c r="CP19" s="35">
        <v>11.6</v>
      </c>
      <c r="CQ19" s="35">
        <v>11</v>
      </c>
      <c r="CR19" s="35">
        <v>11</v>
      </c>
      <c r="CS19" s="35">
        <v>9.4</v>
      </c>
      <c r="CT19" s="35">
        <v>11.1</v>
      </c>
      <c r="CU19" s="35">
        <v>10.5</v>
      </c>
      <c r="CV19" s="35">
        <v>10.3</v>
      </c>
      <c r="CW19" s="83">
        <v>70.639530841582129</v>
      </c>
      <c r="CX19" s="83">
        <v>91.935220592499732</v>
      </c>
      <c r="CY19" s="83">
        <v>102.56078357799213</v>
      </c>
      <c r="CZ19" s="83">
        <v>110.17540966225934</v>
      </c>
      <c r="DA19" s="83">
        <v>100.13115045802994</v>
      </c>
      <c r="DB19" s="83">
        <v>95.750627644601153</v>
      </c>
      <c r="DC19" s="83">
        <v>106.14982521569718</v>
      </c>
      <c r="DD19" s="83">
        <v>109.63374880285114</v>
      </c>
      <c r="DE19" s="83">
        <v>118.70653564310956</v>
      </c>
      <c r="DF19" s="83">
        <v>111.07357773487145</v>
      </c>
      <c r="DG19" s="83">
        <v>111.85214352855044</v>
      </c>
      <c r="DH19" s="83">
        <v>74.160913047859637</v>
      </c>
      <c r="DI19" s="83">
        <v>78.874008589135613</v>
      </c>
      <c r="DJ19" s="83">
        <v>85.148500639349635</v>
      </c>
      <c r="DK19" s="45"/>
      <c r="DL19" s="45">
        <v>4.8086866597724924E-2</v>
      </c>
      <c r="DM19" s="45">
        <v>9.0010272213662049E-2</v>
      </c>
      <c r="DN19" s="38">
        <v>0.16667999040690701</v>
      </c>
      <c r="DO19" s="38">
        <v>0.15856525780523811</v>
      </c>
      <c r="DP19" s="35">
        <v>11.4</v>
      </c>
      <c r="DQ19" s="35">
        <v>11</v>
      </c>
      <c r="DR19" s="79">
        <v>197.6</v>
      </c>
      <c r="DS19" s="79">
        <v>199.1</v>
      </c>
      <c r="DT19" s="214">
        <v>9.8612245853698488E-2</v>
      </c>
      <c r="DU19" s="214">
        <v>9.5711824284791497E-2</v>
      </c>
      <c r="DV19" s="214">
        <v>9.7545526560410517E-2</v>
      </c>
      <c r="DW19" s="214">
        <v>0.1114233507210981</v>
      </c>
      <c r="DX19" s="214">
        <v>0.10081835228308524</v>
      </c>
      <c r="DY19" s="214">
        <v>0.12453615043321997</v>
      </c>
      <c r="DZ19" s="214">
        <v>0.12426711974306544</v>
      </c>
      <c r="EA19" s="214">
        <v>0.12427390770402157</v>
      </c>
      <c r="EB19" s="214">
        <v>0.125260794624656</v>
      </c>
      <c r="EC19" s="214">
        <v>0.11667355523092886</v>
      </c>
    </row>
    <row r="20" spans="1:133">
      <c r="A20" s="3" t="s">
        <v>718</v>
      </c>
      <c r="B20" s="3" t="s">
        <v>719</v>
      </c>
      <c r="C20" s="3">
        <v>12</v>
      </c>
      <c r="D20" s="3" t="s">
        <v>664</v>
      </c>
      <c r="E20" s="4">
        <v>7.8688524590163924</v>
      </c>
      <c r="F20" s="4">
        <v>7.9875518672199162</v>
      </c>
      <c r="G20" s="4">
        <v>11.31090487238979</v>
      </c>
      <c r="H20" s="4">
        <v>8.345255126371006</v>
      </c>
      <c r="I20" s="4">
        <v>8.8354736033366255</v>
      </c>
      <c r="J20" s="4">
        <v>4.784973990390343</v>
      </c>
      <c r="K20" s="4">
        <v>5.6229056650116673</v>
      </c>
      <c r="L20" s="4">
        <v>5.1075650505513872</v>
      </c>
      <c r="M20" s="4">
        <v>9.5166095261256078</v>
      </c>
      <c r="N20" s="4">
        <v>7.3563635213390173</v>
      </c>
      <c r="O20" s="4">
        <v>9.1855692792136967</v>
      </c>
      <c r="P20" s="4">
        <v>14.868866191802757</v>
      </c>
      <c r="Q20" s="4">
        <v>12.153335302190976</v>
      </c>
      <c r="R20" s="4">
        <v>11.62573935675703</v>
      </c>
      <c r="S20" s="4">
        <v>11.390878247712637</v>
      </c>
      <c r="T20" s="4">
        <v>8.8623230086306908</v>
      </c>
      <c r="U20" s="4">
        <v>6.9235707678560656</v>
      </c>
      <c r="V20" s="4">
        <v>6.2885676421299701</v>
      </c>
      <c r="W20" s="4">
        <v>2.4401860583264225</v>
      </c>
      <c r="X20" s="4">
        <v>5.1041809354215175</v>
      </c>
      <c r="Y20" s="4">
        <v>4.4802867383512543</v>
      </c>
      <c r="Z20" s="4">
        <v>3.7</v>
      </c>
      <c r="AA20" s="4"/>
      <c r="AB20" s="4">
        <v>13.474972871610852</v>
      </c>
      <c r="AC20" s="4">
        <v>8.8183031281441835</v>
      </c>
      <c r="AD20" s="4">
        <v>6.8501656441742966</v>
      </c>
      <c r="AE20" s="4">
        <v>4.9110935410865757</v>
      </c>
      <c r="AF20" s="4">
        <v>7.2241887964025029</v>
      </c>
      <c r="AG20" s="4">
        <v>8.7925080472783979</v>
      </c>
      <c r="AH20" s="4">
        <v>9.2228321681525074</v>
      </c>
      <c r="AI20" s="4">
        <v>9.2821233019111222</v>
      </c>
      <c r="AJ20" s="4">
        <v>9.0691928368725421</v>
      </c>
      <c r="AK20" s="4">
        <v>8.7108004824907947</v>
      </c>
      <c r="AL20" s="4">
        <v>9.9331822224951711</v>
      </c>
      <c r="AM20" s="4">
        <v>9.990985574539609</v>
      </c>
      <c r="AN20" s="4">
        <v>12.67675070342665</v>
      </c>
      <c r="AO20" s="4">
        <v>9.2082136714102134</v>
      </c>
      <c r="AP20" s="4">
        <v>12.460332551624656</v>
      </c>
      <c r="AQ20" s="4">
        <v>12.46906300264801</v>
      </c>
      <c r="AR20" s="4">
        <v>9.6378367943734293</v>
      </c>
      <c r="AS20" s="4">
        <v>9.0517468120479236</v>
      </c>
      <c r="AT20" s="4">
        <v>8.4373301225146022</v>
      </c>
      <c r="AU20" s="4">
        <v>8.3278345766895079</v>
      </c>
      <c r="AV20" s="4">
        <v>9</v>
      </c>
      <c r="AW20" s="4">
        <v>11</v>
      </c>
      <c r="AX20" s="4">
        <v>9.6999999999999993</v>
      </c>
      <c r="AY20" s="73">
        <v>9.12202898361957</v>
      </c>
      <c r="AZ20" s="73">
        <v>9.4396761015251958</v>
      </c>
      <c r="BA20" s="73">
        <v>11.758611928780793</v>
      </c>
      <c r="BB20" s="73">
        <v>16.802361342926421</v>
      </c>
      <c r="BC20" s="73">
        <v>17.699659576260341</v>
      </c>
      <c r="BD20" s="73">
        <v>17.291032483320546</v>
      </c>
      <c r="BE20" s="73">
        <v>17.062144114786605</v>
      </c>
      <c r="BF20" s="73">
        <v>16.092397924393811</v>
      </c>
      <c r="BG20" s="73">
        <v>18.99128608242712</v>
      </c>
      <c r="BH20" s="73">
        <v>20.081097233399305</v>
      </c>
      <c r="BI20" s="73">
        <v>20.127269243838434</v>
      </c>
      <c r="BJ20" s="73">
        <v>16.604293693491361</v>
      </c>
      <c r="BK20" s="73">
        <v>13.772799068321648</v>
      </c>
      <c r="BL20" s="73">
        <v>15.913522637677907</v>
      </c>
      <c r="BM20" s="73">
        <v>16.464344167713392</v>
      </c>
      <c r="BN20" s="73">
        <v>16.544433242790802</v>
      </c>
      <c r="BO20" s="73">
        <v>15.198703686056314</v>
      </c>
      <c r="BP20" s="5">
        <v>13.474972871610852</v>
      </c>
      <c r="BQ20" s="5">
        <v>8.8183031281441853</v>
      </c>
      <c r="BR20" s="5">
        <v>6.8501656441742984</v>
      </c>
      <c r="BS20" s="5">
        <v>4.9110935410865748</v>
      </c>
      <c r="BT20" s="5">
        <v>7.2241887964025038</v>
      </c>
      <c r="BU20" s="5">
        <v>8.7925080472783961</v>
      </c>
      <c r="BV20" s="5">
        <v>9.2228321681525074</v>
      </c>
      <c r="BW20" s="5">
        <v>9.2821233019111222</v>
      </c>
      <c r="BX20" s="5">
        <v>9.069194099767568</v>
      </c>
      <c r="BY20" s="5">
        <v>8.7085873141809405</v>
      </c>
      <c r="BZ20" s="5">
        <v>9.93</v>
      </c>
      <c r="CA20" s="5">
        <v>9.99</v>
      </c>
      <c r="CB20" s="5">
        <v>12.68</v>
      </c>
      <c r="CC20" s="5">
        <v>9.2082136714102134</v>
      </c>
      <c r="CD20" s="5">
        <v>12.460332551624658</v>
      </c>
      <c r="CE20" s="5">
        <v>12.469063002648008</v>
      </c>
      <c r="CF20" s="5">
        <v>9.6378367943734276</v>
      </c>
      <c r="CG20" s="5">
        <v>9.0517468120479219</v>
      </c>
      <c r="CH20" s="5">
        <v>8.4373301225146022</v>
      </c>
      <c r="CI20" s="35">
        <v>13.5</v>
      </c>
      <c r="CJ20" s="35">
        <v>8.8000000000000007</v>
      </c>
      <c r="CK20" s="35">
        <v>6.9</v>
      </c>
      <c r="CL20" s="35">
        <v>4.9000000000000004</v>
      </c>
      <c r="CM20" s="35">
        <v>7.2</v>
      </c>
      <c r="CN20" s="35">
        <v>8.8000000000000007</v>
      </c>
      <c r="CO20" s="35">
        <v>9.1999999999999993</v>
      </c>
      <c r="CP20" s="35">
        <v>9.3000000000000007</v>
      </c>
      <c r="CQ20" s="35">
        <v>9.1</v>
      </c>
      <c r="CR20" s="35">
        <v>8.6999999999999993</v>
      </c>
      <c r="CS20" s="35">
        <v>9.9</v>
      </c>
      <c r="CT20" s="35">
        <v>10</v>
      </c>
      <c r="CU20" s="35">
        <v>12.7</v>
      </c>
      <c r="CV20" s="35">
        <v>9.1999999999999993</v>
      </c>
      <c r="CW20" s="83">
        <v>112.38831537591427</v>
      </c>
      <c r="CX20" s="83">
        <v>82.937032565800521</v>
      </c>
      <c r="CY20" s="83">
        <v>65.112203474862014</v>
      </c>
      <c r="CZ20" s="83">
        <v>48.983885049129128</v>
      </c>
      <c r="DA20" s="83">
        <v>70.158917783378186</v>
      </c>
      <c r="DB20" s="83">
        <v>85.722655234292006</v>
      </c>
      <c r="DC20" s="83">
        <v>90.741615935325825</v>
      </c>
      <c r="DD20" s="83">
        <v>101.08960778524012</v>
      </c>
      <c r="DE20" s="83">
        <v>115.70779974895832</v>
      </c>
      <c r="DF20" s="83">
        <v>112.44927338850314</v>
      </c>
      <c r="DG20" s="83">
        <v>112.40526432152956</v>
      </c>
      <c r="DH20" s="83">
        <v>69.011786678170424</v>
      </c>
      <c r="DI20" s="83">
        <v>85.778870272169286</v>
      </c>
      <c r="DJ20" s="83">
        <v>76.061591448749482</v>
      </c>
      <c r="DK20" s="45">
        <v>0.14823313446535108</v>
      </c>
      <c r="DL20" s="45">
        <v>0.10746552543984782</v>
      </c>
      <c r="DM20" s="45">
        <v>8.0033589561397847E-2</v>
      </c>
      <c r="DN20" s="38">
        <v>0.17183817753338568</v>
      </c>
      <c r="DO20" s="38">
        <v>0.10039740640033466</v>
      </c>
      <c r="DP20" s="35">
        <v>6.9</v>
      </c>
      <c r="DQ20" s="35">
        <v>8.6999999999999993</v>
      </c>
      <c r="DR20" s="79">
        <v>143</v>
      </c>
      <c r="DS20" s="79">
        <v>217.6</v>
      </c>
      <c r="DT20" s="214">
        <v>0.12460332551624657</v>
      </c>
      <c r="DU20" s="214">
        <v>0.12469063002648008</v>
      </c>
      <c r="DV20" s="214">
        <v>9.6378367943734278E-2</v>
      </c>
      <c r="DW20" s="214">
        <v>9.0517468120479228E-2</v>
      </c>
      <c r="DX20" s="214">
        <v>8.4373301225146025E-2</v>
      </c>
      <c r="DY20" s="214">
        <v>8.3278345766895079E-2</v>
      </c>
      <c r="DZ20" s="214">
        <v>9.028580549885204E-2</v>
      </c>
      <c r="EA20" s="214">
        <v>0.11017776034285837</v>
      </c>
      <c r="EB20" s="214">
        <v>9.6759203054399084E-2</v>
      </c>
      <c r="EC20" s="214">
        <v>0.10046610965812966</v>
      </c>
    </row>
    <row r="21" spans="1:133">
      <c r="A21" s="3" t="s">
        <v>711</v>
      </c>
      <c r="B21" s="3" t="s">
        <v>712</v>
      </c>
      <c r="C21" s="3">
        <v>13</v>
      </c>
      <c r="D21" s="3" t="s">
        <v>713</v>
      </c>
      <c r="E21" s="4">
        <v>11.964107676969093</v>
      </c>
      <c r="F21" s="4">
        <v>13.969267611255237</v>
      </c>
      <c r="G21" s="4">
        <v>14.590224182285924</v>
      </c>
      <c r="H21" s="4">
        <v>16.033229491173415</v>
      </c>
      <c r="I21" s="4">
        <v>16.743251005169444</v>
      </c>
      <c r="J21" s="4">
        <v>16.43393474503025</v>
      </c>
      <c r="K21" s="4">
        <v>14.652701615851429</v>
      </c>
      <c r="L21" s="4">
        <v>13.327215692399808</v>
      </c>
      <c r="M21" s="4">
        <v>10.840179514889279</v>
      </c>
      <c r="N21" s="4">
        <v>9.4616592875947543</v>
      </c>
      <c r="O21" s="4">
        <v>12.766057182503745</v>
      </c>
      <c r="P21" s="4">
        <v>7.8588282262926636</v>
      </c>
      <c r="Q21" s="4">
        <v>8.0055264142682994</v>
      </c>
      <c r="R21" s="4">
        <v>7.5902665622687877</v>
      </c>
      <c r="S21" s="4">
        <v>19.156004682205083</v>
      </c>
      <c r="T21" s="4">
        <v>12.613312337077733</v>
      </c>
      <c r="U21" s="4">
        <v>13.988308113376252</v>
      </c>
      <c r="V21" s="4">
        <v>11.568357052004089</v>
      </c>
      <c r="W21" s="4">
        <v>12.363879663950968</v>
      </c>
      <c r="X21" s="4">
        <v>13.096390097601301</v>
      </c>
      <c r="Y21" s="4">
        <v>16.06456155554352</v>
      </c>
      <c r="Z21" s="4"/>
      <c r="AA21" s="4"/>
      <c r="AB21" s="4">
        <v>10.318010736421607</v>
      </c>
      <c r="AC21" s="4">
        <v>10.497297713936037</v>
      </c>
      <c r="AD21" s="4">
        <v>8.9620126193688954</v>
      </c>
      <c r="AE21" s="4">
        <v>8.8384215659032481</v>
      </c>
      <c r="AF21" s="4">
        <v>10.025082786062192</v>
      </c>
      <c r="AG21" s="4">
        <v>8.0341901432548344</v>
      </c>
      <c r="AH21" s="4">
        <v>10.305997849979592</v>
      </c>
      <c r="AI21" s="4">
        <v>10.204466213531557</v>
      </c>
      <c r="AJ21" s="4">
        <v>8.9999154348527366</v>
      </c>
      <c r="AK21" s="4">
        <v>9.2065039569472713</v>
      </c>
      <c r="AL21" s="4">
        <v>8.9445944647354523</v>
      </c>
      <c r="AM21" s="4">
        <v>9.010833966396806</v>
      </c>
      <c r="AN21" s="4">
        <v>9.1414203746384732</v>
      </c>
      <c r="AO21" s="4">
        <v>8.3228761942624043</v>
      </c>
      <c r="AP21" s="4">
        <v>7.8690500890182218</v>
      </c>
      <c r="AQ21" s="4">
        <v>7.3391469307705748</v>
      </c>
      <c r="AR21" s="4">
        <v>6.9951888292456941</v>
      </c>
      <c r="AS21" s="4">
        <v>8.162271856660233</v>
      </c>
      <c r="AT21" s="4">
        <v>8.7669788282690231</v>
      </c>
      <c r="AU21" s="4">
        <v>7.522402988052999</v>
      </c>
      <c r="AV21" s="4">
        <v>7.4831920906717473</v>
      </c>
      <c r="AW21" s="4">
        <v>8.8000000000000007</v>
      </c>
      <c r="AX21" s="4">
        <v>9</v>
      </c>
      <c r="AY21" s="73">
        <v>13.608226782044291</v>
      </c>
      <c r="AZ21" s="73">
        <v>13.105896255724211</v>
      </c>
      <c r="BA21" s="73">
        <v>13.642980466896642</v>
      </c>
      <c r="BB21" s="73">
        <v>13.234889324626007</v>
      </c>
      <c r="BC21" s="73">
        <v>17.59071871326816</v>
      </c>
      <c r="BD21" s="73">
        <v>16.695529116087705</v>
      </c>
      <c r="BE21" s="73">
        <v>14.766923414968058</v>
      </c>
      <c r="BF21" s="73">
        <v>14.910829421423449</v>
      </c>
      <c r="BG21" s="73">
        <v>15.592411412627611</v>
      </c>
      <c r="BH21" s="73">
        <v>17.013678125620196</v>
      </c>
      <c r="BI21" s="73">
        <v>16.095566809771377</v>
      </c>
      <c r="BJ21" s="73">
        <v>15.399729399139931</v>
      </c>
      <c r="BK21" s="73">
        <v>14.59058268426344</v>
      </c>
      <c r="BL21" s="73">
        <v>15.509920037579118</v>
      </c>
      <c r="BM21" s="73">
        <v>15.359235390098611</v>
      </c>
      <c r="BN21" s="73">
        <v>16.226423214303651</v>
      </c>
      <c r="BO21" s="73">
        <v>16.722265636213258</v>
      </c>
      <c r="BP21" s="5">
        <v>10.318010736421606</v>
      </c>
      <c r="BQ21" s="5">
        <v>10.497297713936037</v>
      </c>
      <c r="BR21" s="5">
        <v>8.9620126193688954</v>
      </c>
      <c r="BS21" s="5">
        <v>8.8384215659032481</v>
      </c>
      <c r="BT21" s="5">
        <v>10.025082786062192</v>
      </c>
      <c r="BU21" s="5">
        <v>8.0341901432548344</v>
      </c>
      <c r="BV21" s="5">
        <v>10.30599784997959</v>
      </c>
      <c r="BW21" s="5">
        <v>10.204466213531557</v>
      </c>
      <c r="BX21" s="5">
        <v>8.9999154348527348</v>
      </c>
      <c r="BY21" s="5">
        <v>9.2065039569472695</v>
      </c>
      <c r="BZ21" s="5">
        <v>8.94</v>
      </c>
      <c r="CA21" s="5">
        <v>9.01</v>
      </c>
      <c r="CB21" s="5">
        <v>9.14</v>
      </c>
      <c r="CC21" s="5">
        <v>8.3228761942624043</v>
      </c>
      <c r="CD21" s="5">
        <v>7.8690500890182218</v>
      </c>
      <c r="CE21" s="5">
        <v>7.3391469307705757</v>
      </c>
      <c r="CF21" s="5">
        <v>6.9951888292456941</v>
      </c>
      <c r="CG21" s="5">
        <v>8.162271856660233</v>
      </c>
      <c r="CH21" s="5">
        <v>8.9585180688453381</v>
      </c>
      <c r="CI21" s="35">
        <v>10.3</v>
      </c>
      <c r="CJ21" s="35">
        <v>10.5</v>
      </c>
      <c r="CK21" s="35">
        <v>9</v>
      </c>
      <c r="CL21" s="35">
        <v>8.8000000000000007</v>
      </c>
      <c r="CM21" s="35">
        <v>10</v>
      </c>
      <c r="CN21" s="35">
        <v>8</v>
      </c>
      <c r="CO21" s="35">
        <v>10.3</v>
      </c>
      <c r="CP21" s="35">
        <v>10.199999999999999</v>
      </c>
      <c r="CQ21" s="35">
        <v>9</v>
      </c>
      <c r="CR21" s="35">
        <v>9.1999999999999993</v>
      </c>
      <c r="CS21" s="35">
        <v>8.9</v>
      </c>
      <c r="CT21" s="35">
        <v>9</v>
      </c>
      <c r="CU21" s="35">
        <v>9.1</v>
      </c>
      <c r="CV21" s="35">
        <v>8.3000000000000007</v>
      </c>
      <c r="CW21" s="83">
        <v>143.04458599829368</v>
      </c>
      <c r="CX21" s="83">
        <v>202.09405478660887</v>
      </c>
      <c r="CY21" s="83">
        <v>228.396492711723</v>
      </c>
      <c r="CZ21" s="83">
        <v>223.47260173077666</v>
      </c>
      <c r="DA21" s="83">
        <v>245.58512322048367</v>
      </c>
      <c r="DB21" s="83">
        <v>229.15346832202169</v>
      </c>
      <c r="DC21" s="83">
        <v>237.62200153159466</v>
      </c>
      <c r="DD21" s="83">
        <v>263.34706707488914</v>
      </c>
      <c r="DE21" s="83">
        <v>267.8617206530626</v>
      </c>
      <c r="DF21" s="83">
        <v>261.38397375430736</v>
      </c>
      <c r="DG21" s="83">
        <v>243.17223558224504</v>
      </c>
      <c r="DH21" s="83">
        <v>154.4036610850608</v>
      </c>
      <c r="DI21" s="83">
        <v>172.44687848644369</v>
      </c>
      <c r="DJ21" s="83">
        <v>186.63163454053603</v>
      </c>
      <c r="DK21" s="45">
        <v>0.12441414571793778</v>
      </c>
      <c r="DL21" s="45">
        <v>0.12374227714033538</v>
      </c>
      <c r="DM21" s="45">
        <v>0.14473684210526316</v>
      </c>
      <c r="DN21" s="38">
        <v>0.11406485671191555</v>
      </c>
      <c r="DO21" s="38">
        <v>0.10234425873670501</v>
      </c>
      <c r="DP21" s="35">
        <v>9</v>
      </c>
      <c r="DQ21" s="35">
        <v>9.1999999999999993</v>
      </c>
      <c r="DR21" s="79">
        <v>82.3</v>
      </c>
      <c r="DS21" s="79">
        <v>89.2</v>
      </c>
      <c r="DT21" s="214">
        <v>7.8690500890182216E-2</v>
      </c>
      <c r="DU21" s="214">
        <v>7.3391469307705751E-2</v>
      </c>
      <c r="DV21" s="214">
        <v>6.9951888292456951E-2</v>
      </c>
      <c r="DW21" s="214">
        <v>8.1622718566602331E-2</v>
      </c>
      <c r="DX21" s="214">
        <v>8.7669788282690231E-2</v>
      </c>
      <c r="DY21" s="214">
        <v>7.5224029880529994E-2</v>
      </c>
      <c r="DZ21" s="214">
        <v>7.4831920906717475E-2</v>
      </c>
      <c r="EA21" s="214">
        <v>8.8181911795712525E-2</v>
      </c>
      <c r="EB21" s="214">
        <v>8.9942615189111091E-2</v>
      </c>
      <c r="EC21" s="214">
        <v>8.9222694952341156E-2</v>
      </c>
    </row>
    <row r="22" spans="1:133">
      <c r="A22" s="3" t="s">
        <v>714</v>
      </c>
      <c r="B22" s="3" t="s">
        <v>530</v>
      </c>
      <c r="C22" s="3">
        <v>14</v>
      </c>
      <c r="D22" s="3" t="s">
        <v>641</v>
      </c>
      <c r="E22" s="4">
        <v>8.9270386266094413</v>
      </c>
      <c r="F22" s="4">
        <v>8.5191538021726707</v>
      </c>
      <c r="G22" s="4">
        <v>8.2962962962962958</v>
      </c>
      <c r="H22" s="4">
        <v>8.6530442035029189</v>
      </c>
      <c r="I22" s="4">
        <v>8.6023907943246556</v>
      </c>
      <c r="J22" s="4">
        <v>9.2821152868303063</v>
      </c>
      <c r="K22" s="4">
        <v>7.4126271284483751</v>
      </c>
      <c r="L22" s="4">
        <v>6.0538610463835667</v>
      </c>
      <c r="M22" s="4">
        <v>6.7596701893961884</v>
      </c>
      <c r="N22" s="4">
        <v>6.2379685796917883</v>
      </c>
      <c r="O22" s="4">
        <v>6.6162570888468801</v>
      </c>
      <c r="P22" s="4">
        <v>6.6038062791648491</v>
      </c>
      <c r="Q22" s="4">
        <v>6.5593717807023779</v>
      </c>
      <c r="R22" s="4">
        <v>7.048227260485568</v>
      </c>
      <c r="S22" s="4">
        <v>7.3509004621789318</v>
      </c>
      <c r="T22" s="4">
        <v>8.5031227749929528</v>
      </c>
      <c r="U22" s="4">
        <v>7.6713314804777442</v>
      </c>
      <c r="V22" s="4">
        <v>6.7772325162780689</v>
      </c>
      <c r="W22" s="4">
        <v>8.602714955905256</v>
      </c>
      <c r="X22" s="4">
        <v>8.7655102209260711</v>
      </c>
      <c r="Y22" s="4">
        <v>8.9781495637124102</v>
      </c>
      <c r="Z22" s="4"/>
      <c r="AA22" s="4"/>
      <c r="AB22" s="4">
        <v>9.8523954055490712</v>
      </c>
      <c r="AC22" s="4">
        <v>8.9708104633503609</v>
      </c>
      <c r="AD22" s="4">
        <v>10.150178552530708</v>
      </c>
      <c r="AE22" s="4">
        <v>10.094202500612152</v>
      </c>
      <c r="AF22" s="4">
        <v>9.2983561451063039</v>
      </c>
      <c r="AG22" s="4">
        <v>7.9757185737064251</v>
      </c>
      <c r="AH22" s="4">
        <v>8.6536756836290145</v>
      </c>
      <c r="AI22" s="4">
        <v>9.6968335742776404</v>
      </c>
      <c r="AJ22" s="4">
        <v>7.7956179465540956</v>
      </c>
      <c r="AK22" s="4">
        <v>7.9924564269997891</v>
      </c>
      <c r="AL22" s="4">
        <v>8.0353390843869281</v>
      </c>
      <c r="AM22" s="4">
        <v>8.7117549164080845</v>
      </c>
      <c r="AN22" s="4">
        <v>7.4331680990034359</v>
      </c>
      <c r="AO22" s="4">
        <v>6.3709771104990303</v>
      </c>
      <c r="AP22" s="4">
        <v>6.9042099796077476</v>
      </c>
      <c r="AQ22" s="4">
        <v>5.8450181234449987</v>
      </c>
      <c r="AR22" s="4">
        <v>7.7607960335043398</v>
      </c>
      <c r="AS22" s="4">
        <v>7.1517977641656598</v>
      </c>
      <c r="AT22" s="4">
        <v>5.2674958853848848</v>
      </c>
      <c r="AU22" s="4">
        <v>6.3636235093398845</v>
      </c>
      <c r="AV22" s="4">
        <v>7.8141816546207474</v>
      </c>
      <c r="AW22" s="4">
        <v>9.1</v>
      </c>
      <c r="AX22" s="4">
        <v>10.199999999999999</v>
      </c>
      <c r="AY22" s="73">
        <v>13.429784435590969</v>
      </c>
      <c r="AZ22" s="73">
        <v>13.08040945715133</v>
      </c>
      <c r="BA22" s="73">
        <v>11.66891934338553</v>
      </c>
      <c r="BB22" s="73">
        <v>11.009737570973762</v>
      </c>
      <c r="BC22" s="73">
        <v>12.088172073280964</v>
      </c>
      <c r="BD22" s="73">
        <v>13.188800433843415</v>
      </c>
      <c r="BE22" s="73">
        <v>11.091986737527883</v>
      </c>
      <c r="BF22" s="73">
        <v>11.125272752068875</v>
      </c>
      <c r="BG22" s="73">
        <v>10.714283864610552</v>
      </c>
      <c r="BH22" s="73">
        <v>11.779420078865044</v>
      </c>
      <c r="BI22" s="73">
        <v>9.9405080813453317</v>
      </c>
      <c r="BJ22" s="73">
        <v>8.6108452587196069</v>
      </c>
      <c r="BK22" s="73">
        <v>10.004675079944537</v>
      </c>
      <c r="BL22" s="73">
        <v>8.4445017308751265</v>
      </c>
      <c r="BM22" s="73">
        <v>10.338972074461894</v>
      </c>
      <c r="BN22" s="73">
        <v>10.547510194798488</v>
      </c>
      <c r="BO22" s="73">
        <v>10.79277967283978</v>
      </c>
      <c r="BP22" s="5">
        <v>9.8523954055490712</v>
      </c>
      <c r="BQ22" s="5">
        <v>8.9708104633503627</v>
      </c>
      <c r="BR22" s="5">
        <v>10.150178552530708</v>
      </c>
      <c r="BS22" s="5">
        <v>10.094202500612148</v>
      </c>
      <c r="BT22" s="5">
        <v>9.2983561451063039</v>
      </c>
      <c r="BU22" s="5">
        <v>7.975718573706426</v>
      </c>
      <c r="BV22" s="5">
        <v>8.6536756836290145</v>
      </c>
      <c r="BW22" s="5">
        <v>9.6968335742776421</v>
      </c>
      <c r="BX22" s="5">
        <v>7.7956179465540947</v>
      </c>
      <c r="BY22" s="5">
        <v>8.1189379198657328</v>
      </c>
      <c r="BZ22" s="5">
        <v>8.0399999999999991</v>
      </c>
      <c r="CA22" s="5">
        <v>8.7100000000000009</v>
      </c>
      <c r="CB22" s="5">
        <v>7.43</v>
      </c>
      <c r="CC22" s="5">
        <v>6.37</v>
      </c>
      <c r="CD22" s="5">
        <v>6.9042099796077476</v>
      </c>
      <c r="CE22" s="5">
        <v>5.8450181234449987</v>
      </c>
      <c r="CF22" s="5">
        <v>7.7607960335043398</v>
      </c>
      <c r="CG22" s="5">
        <v>7.7516859310524922</v>
      </c>
      <c r="CH22" s="5">
        <v>5.7071686403705639</v>
      </c>
      <c r="CI22" s="35">
        <v>9.9</v>
      </c>
      <c r="CJ22" s="35">
        <v>9</v>
      </c>
      <c r="CK22" s="35">
        <v>10.199999999999999</v>
      </c>
      <c r="CL22" s="35">
        <v>10.1</v>
      </c>
      <c r="CM22" s="35">
        <v>9.3000000000000007</v>
      </c>
      <c r="CN22" s="35">
        <v>8</v>
      </c>
      <c r="CO22" s="35">
        <v>8.6999999999999993</v>
      </c>
      <c r="CP22" s="35">
        <v>9.6999999999999993</v>
      </c>
      <c r="CQ22" s="35">
        <v>7.8</v>
      </c>
      <c r="CR22" s="35">
        <v>8</v>
      </c>
      <c r="CS22" s="35">
        <v>8</v>
      </c>
      <c r="CT22" s="35">
        <v>8.6999999999999993</v>
      </c>
      <c r="CU22" s="35">
        <v>7.4</v>
      </c>
      <c r="CV22" s="35">
        <v>6.4</v>
      </c>
      <c r="CW22" s="83">
        <v>87.620798074867949</v>
      </c>
      <c r="CX22" s="83">
        <v>103.47759447715423</v>
      </c>
      <c r="CY22" s="83">
        <v>133.60381350557103</v>
      </c>
      <c r="CZ22" s="83">
        <v>128.53171090575006</v>
      </c>
      <c r="DA22" s="83">
        <v>123.4613181070965</v>
      </c>
      <c r="DB22" s="83">
        <v>113.00498080174245</v>
      </c>
      <c r="DC22" s="83">
        <v>127.89536416157449</v>
      </c>
      <c r="DD22" s="83">
        <v>152.36546963357299</v>
      </c>
      <c r="DE22" s="83">
        <v>141.9961452806225</v>
      </c>
      <c r="DF22" s="83">
        <v>131.72632908437598</v>
      </c>
      <c r="DG22" s="83">
        <v>127.49150446794621</v>
      </c>
      <c r="DH22" s="83">
        <v>84.575993264264937</v>
      </c>
      <c r="DI22" s="83">
        <v>81.19425612109049</v>
      </c>
      <c r="DJ22" s="83">
        <v>88.728986937285072</v>
      </c>
      <c r="DK22" s="45">
        <v>9.2533503509891521E-2</v>
      </c>
      <c r="DL22" s="45">
        <v>0.10010764262648009</v>
      </c>
      <c r="DM22" s="45">
        <v>7.1387940841865755E-2</v>
      </c>
      <c r="DN22" s="38">
        <v>0.13789698864571334</v>
      </c>
      <c r="DO22" s="38">
        <v>0.10554434287071116</v>
      </c>
      <c r="DP22" s="35">
        <v>10.199999999999999</v>
      </c>
      <c r="DQ22" s="35">
        <v>8.1</v>
      </c>
      <c r="DR22" s="79">
        <v>82.2</v>
      </c>
      <c r="DS22" s="79">
        <v>73.8</v>
      </c>
      <c r="DT22" s="214">
        <v>6.2631425339775712E-2</v>
      </c>
      <c r="DU22" s="214">
        <v>5.3604940401924643E-2</v>
      </c>
      <c r="DV22" s="214">
        <v>7.211920458563538E-2</v>
      </c>
      <c r="DW22" s="214">
        <v>7.1517977641656599E-2</v>
      </c>
      <c r="DX22" s="214">
        <v>5.2674958853848847E-2</v>
      </c>
      <c r="DY22" s="214">
        <v>6.3636235093398844E-2</v>
      </c>
      <c r="DZ22" s="214">
        <v>6.2091183876337934E-2</v>
      </c>
      <c r="EA22" s="214">
        <v>9.0773466651377352E-2</v>
      </c>
      <c r="EB22" s="214">
        <v>0.10246491288526784</v>
      </c>
      <c r="EC22" s="214">
        <v>0.1022740720670617</v>
      </c>
    </row>
    <row r="23" spans="1:133">
      <c r="A23" s="3" t="s">
        <v>620</v>
      </c>
      <c r="B23" s="3" t="s">
        <v>621</v>
      </c>
      <c r="C23" s="3">
        <v>15</v>
      </c>
      <c r="D23" s="3" t="s">
        <v>541</v>
      </c>
      <c r="E23" s="4">
        <v>8.463251670378618</v>
      </c>
      <c r="F23" s="4">
        <v>11.054913294797689</v>
      </c>
      <c r="G23" s="4">
        <v>10.849980415197805</v>
      </c>
      <c r="H23" s="4">
        <v>10.933541220035082</v>
      </c>
      <c r="I23" s="4">
        <v>11.639133233211757</v>
      </c>
      <c r="J23" s="4">
        <v>6.4898371053769637</v>
      </c>
      <c r="K23" s="4">
        <v>7.7445182791765728</v>
      </c>
      <c r="L23" s="4">
        <v>9.3948184455336587</v>
      </c>
      <c r="M23" s="4">
        <v>9.048353590309171</v>
      </c>
      <c r="N23" s="4">
        <v>10.242326895644673</v>
      </c>
      <c r="O23" s="4">
        <v>11.736999015566928</v>
      </c>
      <c r="P23" s="4">
        <v>9.1213978966386442</v>
      </c>
      <c r="Q23" s="4">
        <v>8.6482926846924677</v>
      </c>
      <c r="R23" s="4">
        <v>9.7746264404693974</v>
      </c>
      <c r="S23" s="4">
        <v>7.8143111652229509</v>
      </c>
      <c r="T23" s="4">
        <v>9.7023235702216954</v>
      </c>
      <c r="U23" s="4">
        <v>8.0650180192216308</v>
      </c>
      <c r="V23" s="4">
        <v>7.2139629554670739</v>
      </c>
      <c r="W23" s="4">
        <v>9.8386128350321744</v>
      </c>
      <c r="X23" s="4">
        <v>10.512275392947739</v>
      </c>
      <c r="Y23" s="4">
        <v>10.548072457036692</v>
      </c>
      <c r="Z23" s="4">
        <v>10.5</v>
      </c>
      <c r="AA23" s="4">
        <v>11.2</v>
      </c>
      <c r="AB23" s="4">
        <v>11.614524149718365</v>
      </c>
      <c r="AC23" s="4">
        <v>11.895601436360291</v>
      </c>
      <c r="AD23" s="4">
        <v>10.237170964275521</v>
      </c>
      <c r="AE23" s="4">
        <v>9.9563928274729712</v>
      </c>
      <c r="AF23" s="4">
        <v>8.6083904417039996</v>
      </c>
      <c r="AG23" s="4">
        <v>9.6840378141039611</v>
      </c>
      <c r="AH23" s="4">
        <v>10.174852945365238</v>
      </c>
      <c r="AI23" s="4">
        <v>9.9183473053538052</v>
      </c>
      <c r="AJ23" s="4">
        <v>9.8194882909775174</v>
      </c>
      <c r="AK23" s="4">
        <v>11.426437588447437</v>
      </c>
      <c r="AL23" s="4">
        <v>12.115239655352706</v>
      </c>
      <c r="AM23" s="4">
        <v>11.38586014315266</v>
      </c>
      <c r="AN23" s="4">
        <v>13.231427096278939</v>
      </c>
      <c r="AO23" s="4">
        <v>11.718300797403138</v>
      </c>
      <c r="AP23" s="4">
        <v>10.615859101512594</v>
      </c>
      <c r="AQ23" s="4">
        <v>12.02430756696582</v>
      </c>
      <c r="AR23" s="4">
        <v>12.132800415570433</v>
      </c>
      <c r="AS23" s="4">
        <v>10.71723717995746</v>
      </c>
      <c r="AT23" s="4">
        <v>11.587888644087032</v>
      </c>
      <c r="AU23" s="4">
        <v>11.504951648914405</v>
      </c>
      <c r="AV23" s="4">
        <v>10.996740278437692</v>
      </c>
      <c r="AW23" s="4">
        <v>12.4</v>
      </c>
      <c r="AX23" s="4">
        <v>11.8</v>
      </c>
      <c r="AY23" s="73">
        <v>17.461604038459853</v>
      </c>
      <c r="AZ23" s="73">
        <v>17.760968420702643</v>
      </c>
      <c r="BA23" s="73">
        <v>15.937444203891934</v>
      </c>
      <c r="BB23" s="73">
        <v>17.957702066537578</v>
      </c>
      <c r="BC23" s="73">
        <v>18.602395317864481</v>
      </c>
      <c r="BD23" s="73">
        <v>18.024281497443184</v>
      </c>
      <c r="BE23" s="73">
        <v>17.006904426264313</v>
      </c>
      <c r="BF23" s="73">
        <v>19.207621075691989</v>
      </c>
      <c r="BG23" s="73">
        <v>18.94149755720224</v>
      </c>
      <c r="BH23" s="73">
        <v>19.745778157113996</v>
      </c>
      <c r="BI23" s="73">
        <v>19.552647559073439</v>
      </c>
      <c r="BJ23" s="73">
        <v>18.606428961693297</v>
      </c>
      <c r="BK23" s="73">
        <v>16.86383213728455</v>
      </c>
      <c r="BL23" s="73">
        <v>17.852670312431979</v>
      </c>
      <c r="BM23" s="73">
        <v>17.721201237461575</v>
      </c>
      <c r="BN23" s="73">
        <v>18.901800758204999</v>
      </c>
      <c r="BO23" s="73">
        <v>20.542004992727861</v>
      </c>
      <c r="BP23" s="5">
        <v>11.614524149718365</v>
      </c>
      <c r="BQ23" s="5">
        <v>11.895601436360288</v>
      </c>
      <c r="BR23" s="5">
        <v>10.237170964275519</v>
      </c>
      <c r="BS23" s="5">
        <v>9.9563928274729729</v>
      </c>
      <c r="BT23" s="5">
        <v>8.6083904417039996</v>
      </c>
      <c r="BU23" s="5">
        <v>9.6840378141039611</v>
      </c>
      <c r="BV23" s="5">
        <v>10.174852945365238</v>
      </c>
      <c r="BW23" s="5">
        <v>9.9183473053538052</v>
      </c>
      <c r="BX23" s="5">
        <v>9.7178612155425732</v>
      </c>
      <c r="BY23" s="5">
        <v>11.427035410868561</v>
      </c>
      <c r="BZ23" s="5">
        <v>12.12</v>
      </c>
      <c r="CA23" s="5">
        <v>11.39</v>
      </c>
      <c r="CB23" s="5">
        <v>13.23</v>
      </c>
      <c r="CC23" s="5">
        <v>11.718300797403137</v>
      </c>
      <c r="CD23" s="5">
        <v>10.615859101512594</v>
      </c>
      <c r="CE23" s="5">
        <v>12.024307566965822</v>
      </c>
      <c r="CF23" s="5">
        <v>12.132800415570433</v>
      </c>
      <c r="CG23" s="5">
        <v>11.943752077067403</v>
      </c>
      <c r="CH23" s="5">
        <v>13.059584114370402</v>
      </c>
      <c r="CI23" s="35">
        <v>11.6</v>
      </c>
      <c r="CJ23" s="35">
        <v>11.9</v>
      </c>
      <c r="CK23" s="35">
        <v>10.199999999999999</v>
      </c>
      <c r="CL23" s="35">
        <v>10</v>
      </c>
      <c r="CM23" s="35">
        <v>8.6</v>
      </c>
      <c r="CN23" s="35">
        <v>9.6999999999999993</v>
      </c>
      <c r="CO23" s="35">
        <v>10.199999999999999</v>
      </c>
      <c r="CP23" s="35">
        <v>9.9</v>
      </c>
      <c r="CQ23" s="35">
        <v>9.6999999999999993</v>
      </c>
      <c r="CR23" s="35">
        <v>11.4</v>
      </c>
      <c r="CS23" s="35">
        <v>12.1</v>
      </c>
      <c r="CT23" s="35">
        <v>11.4</v>
      </c>
      <c r="CU23" s="35">
        <v>13.2</v>
      </c>
      <c r="CV23" s="35">
        <v>11.7</v>
      </c>
      <c r="CW23" s="83">
        <v>144.0466824843727</v>
      </c>
      <c r="CX23" s="83">
        <v>167.04029041615632</v>
      </c>
      <c r="CY23" s="83">
        <v>174.29959907372145</v>
      </c>
      <c r="CZ23" s="83">
        <v>173.79090059451519</v>
      </c>
      <c r="DA23" s="83">
        <v>180.62352704642436</v>
      </c>
      <c r="DB23" s="83">
        <v>157.96149510781007</v>
      </c>
      <c r="DC23" s="83">
        <v>170.62295820888593</v>
      </c>
      <c r="DD23" s="83">
        <v>186.31458053946827</v>
      </c>
      <c r="DE23" s="83">
        <v>223.73298519613857</v>
      </c>
      <c r="DF23" s="83">
        <v>235.42513088629065</v>
      </c>
      <c r="DG23" s="83">
        <v>257.88919665673626</v>
      </c>
      <c r="DH23" s="83">
        <v>175.93724997424818</v>
      </c>
      <c r="DI23" s="83">
        <v>254.04636177233229</v>
      </c>
      <c r="DJ23" s="83">
        <v>244.87963393406037</v>
      </c>
      <c r="DK23" s="45">
        <v>0.14306784660766958</v>
      </c>
      <c r="DL23" s="45">
        <v>0.11244285184727543</v>
      </c>
      <c r="DM23" s="45">
        <v>0.13767966439722165</v>
      </c>
      <c r="DN23" s="38">
        <v>0.15497369820911402</v>
      </c>
      <c r="DO23" s="38">
        <v>0.13982158066974493</v>
      </c>
      <c r="DP23" s="35">
        <v>10.199999999999999</v>
      </c>
      <c r="DQ23" s="35">
        <v>11.4</v>
      </c>
      <c r="DR23" s="79">
        <v>204.6</v>
      </c>
      <c r="DS23" s="79">
        <v>230.4</v>
      </c>
      <c r="DT23" s="214">
        <v>9.1249178660343613E-2</v>
      </c>
      <c r="DU23" s="214">
        <v>0.10173165473943248</v>
      </c>
      <c r="DV23" s="214">
        <v>0.11054643678438383</v>
      </c>
      <c r="DW23" s="214">
        <v>0.10717237179957459</v>
      </c>
      <c r="DX23" s="214">
        <v>0.11587888644087031</v>
      </c>
      <c r="DY23" s="214">
        <v>0.11504951648914405</v>
      </c>
      <c r="DZ23" s="214">
        <v>0.11009563649614826</v>
      </c>
      <c r="EA23" s="214">
        <v>0.12356576657895821</v>
      </c>
      <c r="EB23" s="214">
        <v>0.11822870269407033</v>
      </c>
      <c r="EC23" s="214">
        <v>0.1155439801806217</v>
      </c>
    </row>
    <row r="24" spans="1:133">
      <c r="A24" s="3" t="s">
        <v>622</v>
      </c>
      <c r="B24" s="3" t="s">
        <v>925</v>
      </c>
      <c r="C24" s="3">
        <v>16</v>
      </c>
      <c r="D24" s="3" t="s">
        <v>541</v>
      </c>
      <c r="E24" s="4">
        <v>6.1510353227771013</v>
      </c>
      <c r="F24" s="4">
        <v>6.1027837259100641</v>
      </c>
      <c r="G24" s="4">
        <v>6.3093622795115341</v>
      </c>
      <c r="H24" s="4">
        <v>8.413001912045889</v>
      </c>
      <c r="I24" s="4">
        <v>11.436847186869132</v>
      </c>
      <c r="J24" s="4">
        <v>11.341745688045995</v>
      </c>
      <c r="K24" s="4">
        <v>6.5125775130720749</v>
      </c>
      <c r="L24" s="4">
        <v>7.8086675522722446</v>
      </c>
      <c r="M24" s="4">
        <v>10.416339417165792</v>
      </c>
      <c r="N24" s="4">
        <v>10.196462644104978</v>
      </c>
      <c r="O24" s="4">
        <v>9.4508967463004705</v>
      </c>
      <c r="P24" s="4">
        <v>8.1453256327028996</v>
      </c>
      <c r="Q24" s="4">
        <v>8.3183801970457161</v>
      </c>
      <c r="R24" s="4">
        <v>9.8399732603770769</v>
      </c>
      <c r="S24" s="4">
        <v>11.70288041248247</v>
      </c>
      <c r="T24" s="4">
        <v>12.215430400656782</v>
      </c>
      <c r="U24" s="4">
        <v>11.141433381683113</v>
      </c>
      <c r="V24" s="4">
        <v>10.402033531900221</v>
      </c>
      <c r="W24" s="4">
        <v>9.9613306017317846</v>
      </c>
      <c r="X24" s="4">
        <v>9.2719044558697519</v>
      </c>
      <c r="Y24" s="4">
        <v>10.126789813094328</v>
      </c>
      <c r="Z24" s="4">
        <v>11.4</v>
      </c>
      <c r="AA24" s="4">
        <v>12.6</v>
      </c>
      <c r="AB24" s="4">
        <v>11.718512129787863</v>
      </c>
      <c r="AC24" s="4">
        <v>12.082103183620411</v>
      </c>
      <c r="AD24" s="4">
        <v>9.2711237246753058</v>
      </c>
      <c r="AE24" s="4">
        <v>10.789108668201731</v>
      </c>
      <c r="AF24" s="4">
        <v>9.9562898636382009</v>
      </c>
      <c r="AG24" s="4">
        <v>8.9740865226917954</v>
      </c>
      <c r="AH24" s="4">
        <v>9.3341541636144338</v>
      </c>
      <c r="AI24" s="4">
        <v>9.0069489103179965</v>
      </c>
      <c r="AJ24" s="4">
        <v>8.8681366757643563</v>
      </c>
      <c r="AK24" s="4">
        <v>8.9988217415732805</v>
      </c>
      <c r="AL24" s="4">
        <v>9.3214906606170125</v>
      </c>
      <c r="AM24" s="4">
        <v>10.131077539772026</v>
      </c>
      <c r="AN24" s="4">
        <v>11.218819032957031</v>
      </c>
      <c r="AO24" s="4">
        <v>10.911464309985865</v>
      </c>
      <c r="AP24" s="4">
        <v>12.041799382683555</v>
      </c>
      <c r="AQ24" s="4">
        <v>11.776266676811584</v>
      </c>
      <c r="AR24" s="4">
        <v>13.322568997507824</v>
      </c>
      <c r="AS24" s="4">
        <v>13.644664308514754</v>
      </c>
      <c r="AT24" s="4">
        <v>13.441565675424355</v>
      </c>
      <c r="AU24" s="4">
        <v>14.102393362656256</v>
      </c>
      <c r="AV24" s="4">
        <v>15.216040604318307</v>
      </c>
      <c r="AW24" s="4">
        <v>13.9</v>
      </c>
      <c r="AX24" s="4">
        <v>13</v>
      </c>
      <c r="AY24" s="73">
        <v>12.758369208021374</v>
      </c>
      <c r="AZ24" s="73">
        <v>15.055569038095722</v>
      </c>
      <c r="BA24" s="73">
        <v>13.332216058131078</v>
      </c>
      <c r="BB24" s="73">
        <v>15.047182896456441</v>
      </c>
      <c r="BC24" s="73">
        <v>15.988288882598159</v>
      </c>
      <c r="BD24" s="73">
        <v>15.271396665337663</v>
      </c>
      <c r="BE24" s="73">
        <v>14.947503540856442</v>
      </c>
      <c r="BF24" s="73">
        <v>15.182238067595533</v>
      </c>
      <c r="BG24" s="73">
        <v>16.106671701351051</v>
      </c>
      <c r="BH24" s="73">
        <v>19.278585859240962</v>
      </c>
      <c r="BI24" s="73">
        <v>19.649234606279315</v>
      </c>
      <c r="BJ24" s="73">
        <v>17.089652051607523</v>
      </c>
      <c r="BK24" s="73">
        <v>18.981778602262608</v>
      </c>
      <c r="BL24" s="73">
        <v>18.780616667928935</v>
      </c>
      <c r="BM24" s="73">
        <v>18.962915987898121</v>
      </c>
      <c r="BN24" s="73">
        <v>18.793448938111617</v>
      </c>
      <c r="BO24" s="73">
        <v>19.56825069345529</v>
      </c>
      <c r="BP24" s="5">
        <v>11.718512129787863</v>
      </c>
      <c r="BQ24" s="5">
        <v>12.082103183620413</v>
      </c>
      <c r="BR24" s="5">
        <v>9.271123724675304</v>
      </c>
      <c r="BS24" s="5">
        <v>10.789108668201731</v>
      </c>
      <c r="BT24" s="5">
        <v>9.9562898636382009</v>
      </c>
      <c r="BU24" s="5">
        <v>8.9740865226917954</v>
      </c>
      <c r="BV24" s="5">
        <v>9.3341541636144321</v>
      </c>
      <c r="BW24" s="5">
        <v>9.0069489103179983</v>
      </c>
      <c r="BX24" s="5">
        <v>8.8681366757643545</v>
      </c>
      <c r="BY24" s="5">
        <v>8.8316267052338073</v>
      </c>
      <c r="BZ24" s="5">
        <v>11.88</v>
      </c>
      <c r="CA24" s="5">
        <v>12.86</v>
      </c>
      <c r="CB24" s="5">
        <v>13.76</v>
      </c>
      <c r="CC24" s="5">
        <v>10.911464309985863</v>
      </c>
      <c r="CD24" s="5">
        <v>12.041799382683555</v>
      </c>
      <c r="CE24" s="5">
        <v>11.776266676811584</v>
      </c>
      <c r="CF24" s="5">
        <v>13.322568997507826</v>
      </c>
      <c r="CG24" s="5">
        <v>13.644664308514756</v>
      </c>
      <c r="CH24" s="5">
        <v>13.441565675424354</v>
      </c>
      <c r="CI24" s="35">
        <v>11.7</v>
      </c>
      <c r="CJ24" s="35">
        <v>12.1</v>
      </c>
      <c r="CK24" s="35">
        <v>9.3000000000000007</v>
      </c>
      <c r="CL24" s="35">
        <v>10.8</v>
      </c>
      <c r="CM24" s="35">
        <v>10</v>
      </c>
      <c r="CN24" s="35">
        <v>9</v>
      </c>
      <c r="CO24" s="35">
        <v>9.3000000000000007</v>
      </c>
      <c r="CP24" s="35">
        <v>9</v>
      </c>
      <c r="CQ24" s="35">
        <v>8.9</v>
      </c>
      <c r="CR24" s="35">
        <v>9</v>
      </c>
      <c r="CS24" s="35">
        <v>9.3000000000000007</v>
      </c>
      <c r="CT24" s="35">
        <v>10.1</v>
      </c>
      <c r="CU24" s="35">
        <v>11.2</v>
      </c>
      <c r="CV24" s="35">
        <v>10.9</v>
      </c>
      <c r="CW24" s="83">
        <v>110.07400433610782</v>
      </c>
      <c r="CX24" s="83">
        <v>138.39354473487703</v>
      </c>
      <c r="CY24" s="83">
        <v>160.91005855201223</v>
      </c>
      <c r="CZ24" s="83">
        <v>159.13914090630936</v>
      </c>
      <c r="DA24" s="83">
        <v>141.15355318857593</v>
      </c>
      <c r="DB24" s="83">
        <v>123.16301419915067</v>
      </c>
      <c r="DC24" s="83">
        <v>121.4694015938874</v>
      </c>
      <c r="DD24" s="83">
        <v>122.2450276173068</v>
      </c>
      <c r="DE24" s="83">
        <v>126.15208576874889</v>
      </c>
      <c r="DF24" s="83">
        <v>125.91822015810661</v>
      </c>
      <c r="DG24" s="83">
        <v>128.91808021905982</v>
      </c>
      <c r="DH24" s="83">
        <v>86.209726635461706</v>
      </c>
      <c r="DI24" s="83">
        <v>100.37273096559086</v>
      </c>
      <c r="DJ24" s="83">
        <v>125.95786215919074</v>
      </c>
      <c r="DK24" s="45">
        <v>7.7084793272599872E-2</v>
      </c>
      <c r="DL24" s="45">
        <v>7.6712015548187934E-2</v>
      </c>
      <c r="DM24" s="45">
        <v>0.12099644128113878</v>
      </c>
      <c r="DN24" s="38">
        <v>0.15847322142286169</v>
      </c>
      <c r="DO24" s="38">
        <v>0.10140121051322445</v>
      </c>
      <c r="DP24" s="35">
        <v>9.3000000000000007</v>
      </c>
      <c r="DQ24" s="35">
        <v>8.8000000000000007</v>
      </c>
      <c r="DR24" s="79">
        <v>156.4</v>
      </c>
      <c r="DS24" s="79">
        <v>109.6</v>
      </c>
      <c r="DT24" s="214">
        <v>0.12041799382683553</v>
      </c>
      <c r="DU24" s="214">
        <v>0.11775878552962646</v>
      </c>
      <c r="DV24" s="214">
        <v>0.13324484729600722</v>
      </c>
      <c r="DW24" s="214">
        <v>0.13644664308514753</v>
      </c>
      <c r="DX24" s="214">
        <v>0.13441565675424355</v>
      </c>
      <c r="DY24" s="214">
        <v>0.14102393362656257</v>
      </c>
      <c r="DZ24" s="214">
        <v>0.15216040604318307</v>
      </c>
      <c r="EA24" s="214">
        <v>0.1389310486997713</v>
      </c>
      <c r="EB24" s="214">
        <v>0.13035600218618554</v>
      </c>
      <c r="EC24" s="214">
        <v>0.12857937865437197</v>
      </c>
    </row>
    <row r="25" spans="1:133">
      <c r="A25" s="3" t="s">
        <v>926</v>
      </c>
      <c r="B25" s="3" t="s">
        <v>927</v>
      </c>
      <c r="C25" s="3">
        <v>17</v>
      </c>
      <c r="D25" s="3" t="s">
        <v>664</v>
      </c>
      <c r="E25" s="4">
        <v>13.700670141474308</v>
      </c>
      <c r="F25" s="4">
        <v>13.659793814432989</v>
      </c>
      <c r="G25" s="4">
        <v>12.248144220572641</v>
      </c>
      <c r="H25" s="4">
        <v>13.343677269200931</v>
      </c>
      <c r="I25" s="4">
        <v>14.74155914393881</v>
      </c>
      <c r="J25" s="4">
        <v>13.161110637451332</v>
      </c>
      <c r="K25" s="4">
        <v>12.437816457449282</v>
      </c>
      <c r="L25" s="4">
        <v>12.260497073287064</v>
      </c>
      <c r="M25" s="4">
        <v>13.773108108748499</v>
      </c>
      <c r="N25" s="4">
        <v>10.077853041094691</v>
      </c>
      <c r="O25" s="4">
        <v>9.7129212179213038</v>
      </c>
      <c r="P25" s="4">
        <v>9.7476806635009634</v>
      </c>
      <c r="Q25" s="4">
        <v>9.769037760004478</v>
      </c>
      <c r="R25" s="4">
        <v>11.512733172037205</v>
      </c>
      <c r="S25" s="4">
        <v>17.808334809497769</v>
      </c>
      <c r="T25" s="4">
        <v>14.55615566198068</v>
      </c>
      <c r="U25" s="4">
        <v>12.709813279875954</v>
      </c>
      <c r="V25" s="4">
        <v>15.627690580531636</v>
      </c>
      <c r="W25" s="4">
        <v>17.175903935681962</v>
      </c>
      <c r="X25" s="4">
        <v>16.400289416312035</v>
      </c>
      <c r="Y25" s="4">
        <v>17.007086285952479</v>
      </c>
      <c r="Z25" s="4">
        <v>13</v>
      </c>
      <c r="AA25" s="4">
        <v>14.3</v>
      </c>
      <c r="AB25" s="4">
        <v>13.42391526878354</v>
      </c>
      <c r="AC25" s="4">
        <v>14.989554117501108</v>
      </c>
      <c r="AD25" s="4">
        <v>13.941687072210692</v>
      </c>
      <c r="AE25" s="4">
        <v>13.806304825167073</v>
      </c>
      <c r="AF25" s="4">
        <v>12.658142888389918</v>
      </c>
      <c r="AG25" s="4">
        <v>13.067469968603104</v>
      </c>
      <c r="AH25" s="4">
        <v>12.596969771560365</v>
      </c>
      <c r="AI25" s="4">
        <v>12.098252822798235</v>
      </c>
      <c r="AJ25" s="4">
        <v>12.65021318932722</v>
      </c>
      <c r="AK25" s="4">
        <v>12.382580442666159</v>
      </c>
      <c r="AL25" s="4">
        <v>12.773636072443647</v>
      </c>
      <c r="AM25" s="4">
        <v>16.128181565107646</v>
      </c>
      <c r="AN25" s="4">
        <v>15.099537378511702</v>
      </c>
      <c r="AO25" s="4">
        <v>13.605091791027998</v>
      </c>
      <c r="AP25" s="4">
        <v>12.042376748355499</v>
      </c>
      <c r="AQ25" s="4">
        <v>12.59524039726155</v>
      </c>
      <c r="AR25" s="4">
        <v>12.232965022791074</v>
      </c>
      <c r="AS25" s="4">
        <v>11.833369583661293</v>
      </c>
      <c r="AT25" s="4">
        <v>13.778017602044134</v>
      </c>
      <c r="AU25" s="4">
        <v>13.463503487112325</v>
      </c>
      <c r="AV25" s="4">
        <v>14.952925920235238</v>
      </c>
      <c r="AW25" s="4">
        <v>16.7</v>
      </c>
      <c r="AX25" s="4">
        <v>16.7</v>
      </c>
      <c r="AY25" s="73">
        <v>16.538589955959491</v>
      </c>
      <c r="AZ25" s="73">
        <v>17.587088158748173</v>
      </c>
      <c r="BA25" s="73">
        <v>15.158620197598621</v>
      </c>
      <c r="BB25" s="73">
        <v>20.25111365897013</v>
      </c>
      <c r="BC25" s="73">
        <v>19.824926972387438</v>
      </c>
      <c r="BD25" s="73">
        <v>19.95087950103974</v>
      </c>
      <c r="BE25" s="73">
        <v>22.397294487682853</v>
      </c>
      <c r="BF25" s="73">
        <v>21.077018497879781</v>
      </c>
      <c r="BG25" s="73">
        <v>22.731530589136671</v>
      </c>
      <c r="BH25" s="73">
        <v>24.891206326389867</v>
      </c>
      <c r="BI25" s="73">
        <v>24.423658332431447</v>
      </c>
      <c r="BJ25" s="73">
        <v>21.067369066071507</v>
      </c>
      <c r="BK25" s="73">
        <v>19.94226989912913</v>
      </c>
      <c r="BL25" s="73">
        <v>18.45779661767541</v>
      </c>
      <c r="BM25" s="73">
        <v>16.58802729572237</v>
      </c>
      <c r="BN25" s="73">
        <v>17.631786475763494</v>
      </c>
      <c r="BO25" s="73">
        <v>18.59753579205216</v>
      </c>
      <c r="BP25" s="5">
        <v>13.423915268783546</v>
      </c>
      <c r="BQ25" s="5">
        <v>14.989554117501109</v>
      </c>
      <c r="BR25" s="5">
        <v>13.941687072210694</v>
      </c>
      <c r="BS25" s="5">
        <v>13.806304825167073</v>
      </c>
      <c r="BT25" s="5">
        <v>12.658142888389916</v>
      </c>
      <c r="BU25" s="5">
        <v>13.067469968603104</v>
      </c>
      <c r="BV25" s="5">
        <v>12.596969771560364</v>
      </c>
      <c r="BW25" s="5">
        <v>12.098252822798235</v>
      </c>
      <c r="BX25" s="5">
        <v>12.650213472355308</v>
      </c>
      <c r="BY25" s="5">
        <v>12.382580442666159</v>
      </c>
      <c r="BZ25" s="5">
        <v>12.77</v>
      </c>
      <c r="CA25" s="5">
        <v>16.13</v>
      </c>
      <c r="CB25" s="5">
        <v>15.1</v>
      </c>
      <c r="CC25" s="5">
        <v>13.605091791028</v>
      </c>
      <c r="CD25" s="5">
        <v>12.042376748355501</v>
      </c>
      <c r="CE25" s="5">
        <v>12.595240397261552</v>
      </c>
      <c r="CF25" s="5">
        <v>12.232965022791076</v>
      </c>
      <c r="CG25" s="5">
        <v>11.833369583661291</v>
      </c>
      <c r="CH25" s="5">
        <v>13.778017602044132</v>
      </c>
      <c r="CI25" s="35">
        <v>13.4</v>
      </c>
      <c r="CJ25" s="35">
        <v>15</v>
      </c>
      <c r="CK25" s="35">
        <v>13.9</v>
      </c>
      <c r="CL25" s="35">
        <v>13.8</v>
      </c>
      <c r="CM25" s="35">
        <v>12.7</v>
      </c>
      <c r="CN25" s="35">
        <v>13.1</v>
      </c>
      <c r="CO25" s="35">
        <v>12.6</v>
      </c>
      <c r="CP25" s="35">
        <v>12.1</v>
      </c>
      <c r="CQ25" s="35">
        <v>12.7</v>
      </c>
      <c r="CR25" s="35">
        <v>12.4</v>
      </c>
      <c r="CS25" s="35">
        <v>12.8</v>
      </c>
      <c r="CT25" s="35">
        <v>16.100000000000001</v>
      </c>
      <c r="CU25" s="35">
        <v>15.1</v>
      </c>
      <c r="CV25" s="35">
        <v>13.6</v>
      </c>
      <c r="CW25" s="83">
        <v>179.26717171412525</v>
      </c>
      <c r="CX25" s="83">
        <v>217.44652220902663</v>
      </c>
      <c r="CY25" s="83">
        <v>208.36602819602993</v>
      </c>
      <c r="CZ25" s="83">
        <v>211.76647347201259</v>
      </c>
      <c r="DA25" s="83">
        <v>194.10252787167909</v>
      </c>
      <c r="DB25" s="83">
        <v>184.5838580426292</v>
      </c>
      <c r="DC25" s="83">
        <v>209.69461670009508</v>
      </c>
      <c r="DD25" s="83">
        <v>200.35348857158567</v>
      </c>
      <c r="DE25" s="83">
        <v>218.00550437460208</v>
      </c>
      <c r="DF25" s="83">
        <v>222.24200617736324</v>
      </c>
      <c r="DG25" s="83">
        <v>215.47868619271784</v>
      </c>
      <c r="DH25" s="83">
        <v>150.47028890794502</v>
      </c>
      <c r="DI25" s="83">
        <v>153.62384536087418</v>
      </c>
      <c r="DJ25" s="83">
        <v>180.52073274400598</v>
      </c>
      <c r="DK25" s="45">
        <v>0.24592145015105743</v>
      </c>
      <c r="DL25" s="45">
        <v>0.15812431842966196</v>
      </c>
      <c r="DM25" s="45">
        <v>0.14999417724467221</v>
      </c>
      <c r="DN25" s="38">
        <v>0.16831928606841848</v>
      </c>
      <c r="DO25" s="38">
        <v>0.13813184253435826</v>
      </c>
      <c r="DP25" s="35">
        <v>13.9</v>
      </c>
      <c r="DQ25" s="35">
        <v>12.4</v>
      </c>
      <c r="DR25" s="79">
        <v>118.3</v>
      </c>
      <c r="DS25" s="79">
        <v>114.3</v>
      </c>
      <c r="DT25" s="214">
        <v>0.12042376748355497</v>
      </c>
      <c r="DU25" s="214">
        <v>0.12595240397261551</v>
      </c>
      <c r="DV25" s="214">
        <v>0.12232965022791076</v>
      </c>
      <c r="DW25" s="214">
        <v>0.11833369583661293</v>
      </c>
      <c r="DX25" s="214">
        <v>0.13778017602044135</v>
      </c>
      <c r="DY25" s="214">
        <v>0.13463503487112324</v>
      </c>
      <c r="DZ25" s="214">
        <v>0.14952925920235238</v>
      </c>
      <c r="EA25" s="214">
        <v>0.16667368278243982</v>
      </c>
      <c r="EB25" s="214">
        <v>0.16738977591564777</v>
      </c>
      <c r="EC25" s="214">
        <v>0.16483338113481844</v>
      </c>
    </row>
    <row r="26" spans="1:133">
      <c r="A26" s="3" t="s">
        <v>928</v>
      </c>
      <c r="B26" s="3" t="s">
        <v>929</v>
      </c>
      <c r="C26" s="3">
        <v>18</v>
      </c>
      <c r="D26" s="3" t="s">
        <v>713</v>
      </c>
      <c r="E26" s="4">
        <v>11.319444444444445</v>
      </c>
      <c r="F26" s="4">
        <v>12.242945958871355</v>
      </c>
      <c r="G26" s="4">
        <v>11.084395287328686</v>
      </c>
      <c r="H26" s="4">
        <v>12.397979012825497</v>
      </c>
      <c r="I26" s="4">
        <v>10.816793329890061</v>
      </c>
      <c r="J26" s="4">
        <v>11.112894596040663</v>
      </c>
      <c r="K26" s="4">
        <v>8.7767143383374595</v>
      </c>
      <c r="L26" s="4">
        <v>8.0911163018498282</v>
      </c>
      <c r="M26" s="4">
        <v>10.637447725998987</v>
      </c>
      <c r="N26" s="4">
        <v>10.48807597644892</v>
      </c>
      <c r="O26" s="4">
        <v>7.4793004069619657</v>
      </c>
      <c r="P26" s="4">
        <v>6.0881145113343571</v>
      </c>
      <c r="Q26" s="4">
        <v>6.9543757760815783</v>
      </c>
      <c r="R26" s="4">
        <v>7.1418299372461806</v>
      </c>
      <c r="S26" s="4">
        <v>7.5853941359138464</v>
      </c>
      <c r="T26" s="4">
        <v>7.6750303389325341</v>
      </c>
      <c r="U26" s="4">
        <v>8.8043709655725895</v>
      </c>
      <c r="V26" s="4">
        <v>6.9339285743279424</v>
      </c>
      <c r="W26" s="4">
        <v>8.2123179475532702</v>
      </c>
      <c r="X26" s="4">
        <v>10.668726528503587</v>
      </c>
      <c r="Y26" s="4">
        <v>10.63603164942179</v>
      </c>
      <c r="Z26" s="4">
        <v>10.7</v>
      </c>
      <c r="AA26" s="4"/>
      <c r="AB26" s="4">
        <v>11.943001587887476</v>
      </c>
      <c r="AC26" s="4">
        <v>12.348766422312471</v>
      </c>
      <c r="AD26" s="4">
        <v>10.827585097168461</v>
      </c>
      <c r="AE26" s="4">
        <v>11.333800404365469</v>
      </c>
      <c r="AF26" s="4">
        <v>11.910795711123404</v>
      </c>
      <c r="AG26" s="4">
        <v>10.422585463404896</v>
      </c>
      <c r="AH26" s="4">
        <v>10.350318973460771</v>
      </c>
      <c r="AI26" s="4">
        <v>11.065573872378556</v>
      </c>
      <c r="AJ26" s="4">
        <v>12.371449333547989</v>
      </c>
      <c r="AK26" s="4">
        <v>10.996191613714881</v>
      </c>
      <c r="AL26" s="4">
        <v>11.881177569670898</v>
      </c>
      <c r="AM26" s="4">
        <v>12.862008787524493</v>
      </c>
      <c r="AN26" s="4">
        <v>13.764836430272091</v>
      </c>
      <c r="AO26" s="4">
        <v>12.289217456872308</v>
      </c>
      <c r="AP26" s="4">
        <v>14.488773480919349</v>
      </c>
      <c r="AQ26" s="4">
        <v>12.770206581377193</v>
      </c>
      <c r="AR26" s="4">
        <v>11.431297276095458</v>
      </c>
      <c r="AS26" s="4">
        <v>11.409014859431981</v>
      </c>
      <c r="AT26" s="4">
        <v>12.295074482946932</v>
      </c>
      <c r="AU26" s="4">
        <v>12.692286552075819</v>
      </c>
      <c r="AV26" s="4">
        <v>12.361987939571497</v>
      </c>
      <c r="AW26" s="4">
        <v>12.2</v>
      </c>
      <c r="AX26" s="4">
        <v>11.3</v>
      </c>
      <c r="AY26" s="73">
        <v>14.241831048556685</v>
      </c>
      <c r="AZ26" s="73">
        <v>14.702418560065675</v>
      </c>
      <c r="BA26" s="73">
        <v>15.120950924458548</v>
      </c>
      <c r="BB26" s="73">
        <v>17.318529443605886</v>
      </c>
      <c r="BC26" s="73">
        <v>16.950934489841785</v>
      </c>
      <c r="BD26" s="73">
        <v>18.221473593627248</v>
      </c>
      <c r="BE26" s="73">
        <v>19.896206106687636</v>
      </c>
      <c r="BF26" s="73">
        <v>18.203946764626274</v>
      </c>
      <c r="BG26" s="73">
        <v>18.632916203656624</v>
      </c>
      <c r="BH26" s="73">
        <v>19.163529393824117</v>
      </c>
      <c r="BI26" s="73">
        <v>22.26563380213117</v>
      </c>
      <c r="BJ26" s="73">
        <v>20.138870238070858</v>
      </c>
      <c r="BK26" s="73">
        <v>15.822333998004268</v>
      </c>
      <c r="BL26" s="73">
        <v>14.456866911252606</v>
      </c>
      <c r="BM26" s="73">
        <v>14.983068181882734</v>
      </c>
      <c r="BN26" s="73">
        <v>17.026147925195449</v>
      </c>
      <c r="BO26" s="73">
        <v>18.554879277458664</v>
      </c>
      <c r="BP26" s="5">
        <v>11.943001587887478</v>
      </c>
      <c r="BQ26" s="5">
        <v>12.348766422312471</v>
      </c>
      <c r="BR26" s="5">
        <v>10.827585097168461</v>
      </c>
      <c r="BS26" s="5">
        <v>11.333800404365469</v>
      </c>
      <c r="BT26" s="5">
        <v>11.910795711123406</v>
      </c>
      <c r="BU26" s="5">
        <v>10.422585463404895</v>
      </c>
      <c r="BV26" s="5">
        <v>10.350318973460775</v>
      </c>
      <c r="BW26" s="5">
        <v>11.065573872378557</v>
      </c>
      <c r="BX26" s="5">
        <v>12.371449333547991</v>
      </c>
      <c r="BY26" s="5">
        <v>11.555295082971281</v>
      </c>
      <c r="BZ26" s="5">
        <v>11.88</v>
      </c>
      <c r="CA26" s="5">
        <v>12.86</v>
      </c>
      <c r="CB26" s="5">
        <v>13.76</v>
      </c>
      <c r="CC26" s="5">
        <v>12.28921745687231</v>
      </c>
      <c r="CD26" s="5">
        <v>14.488773480919351</v>
      </c>
      <c r="CE26" s="5">
        <v>12.770206581377193</v>
      </c>
      <c r="CF26" s="5">
        <v>11.431297276095458</v>
      </c>
      <c r="CG26" s="5">
        <v>11.717648184256316</v>
      </c>
      <c r="CH26" s="5">
        <v>12.434035697873011</v>
      </c>
      <c r="CI26" s="35">
        <v>11.9</v>
      </c>
      <c r="CJ26" s="35">
        <v>12.3</v>
      </c>
      <c r="CK26" s="35">
        <v>10.8</v>
      </c>
      <c r="CL26" s="35">
        <v>11.3</v>
      </c>
      <c r="CM26" s="35">
        <v>11.9</v>
      </c>
      <c r="CN26" s="35">
        <v>10.4</v>
      </c>
      <c r="CO26" s="35">
        <v>10.4</v>
      </c>
      <c r="CP26" s="35">
        <v>11.1</v>
      </c>
      <c r="CQ26" s="35">
        <v>12.4</v>
      </c>
      <c r="CR26" s="35">
        <v>11</v>
      </c>
      <c r="CS26" s="35">
        <v>11.9</v>
      </c>
      <c r="CT26" s="35">
        <v>12.9</v>
      </c>
      <c r="CU26" s="35">
        <v>13.8</v>
      </c>
      <c r="CV26" s="35">
        <v>12.3</v>
      </c>
      <c r="CW26" s="83">
        <v>109.883783321165</v>
      </c>
      <c r="CX26" s="83">
        <v>115.65891247477775</v>
      </c>
      <c r="CY26" s="83">
        <v>136.43994370395123</v>
      </c>
      <c r="CZ26" s="83">
        <v>174.21628488313502</v>
      </c>
      <c r="DA26" s="83">
        <v>165.5368828305526</v>
      </c>
      <c r="DB26" s="83">
        <v>115.44737702184841</v>
      </c>
      <c r="DC26" s="83">
        <v>133.06287819047725</v>
      </c>
      <c r="DD26" s="83">
        <v>147.92682907263293</v>
      </c>
      <c r="DE26" s="83">
        <v>172.38687719764059</v>
      </c>
      <c r="DF26" s="83">
        <v>167.49729045226547</v>
      </c>
      <c r="DG26" s="83">
        <v>176.99298663291319</v>
      </c>
      <c r="DH26" s="83">
        <v>111.45834800500653</v>
      </c>
      <c r="DI26" s="83">
        <v>107.78715660850506</v>
      </c>
      <c r="DJ26" s="83">
        <v>102.02912301507968</v>
      </c>
      <c r="DK26" s="45">
        <v>0.1858321203299369</v>
      </c>
      <c r="DL26" s="45">
        <v>0.12490287490287491</v>
      </c>
      <c r="DM26" s="45">
        <v>8.3725927762624996E-2</v>
      </c>
      <c r="DN26" s="38">
        <v>0.12118300234892161</v>
      </c>
      <c r="DO26" s="38">
        <v>0.12438926712054467</v>
      </c>
      <c r="DP26" s="35">
        <v>10.8</v>
      </c>
      <c r="DQ26" s="35">
        <v>11.6</v>
      </c>
      <c r="DR26" s="79">
        <v>133.69999999999999</v>
      </c>
      <c r="DS26" s="79">
        <v>128.30000000000001</v>
      </c>
      <c r="DT26" s="214">
        <v>0.14487956230758794</v>
      </c>
      <c r="DU26" s="214">
        <v>0.12198287494973203</v>
      </c>
      <c r="DV26" s="214">
        <v>0.11182191400731126</v>
      </c>
      <c r="DW26" s="214">
        <v>0.1140901485943198</v>
      </c>
      <c r="DX26" s="214">
        <v>0.12295074482946931</v>
      </c>
      <c r="DY26" s="214">
        <v>0.12692286552075818</v>
      </c>
      <c r="DZ26" s="214">
        <v>0.12361987939571496</v>
      </c>
      <c r="EA26" s="214">
        <v>0.1221674966469953</v>
      </c>
      <c r="EB26" s="214">
        <v>0.11329086904971472</v>
      </c>
      <c r="EC26" s="214">
        <v>8.816416721239495E-2</v>
      </c>
    </row>
    <row r="27" spans="1:133">
      <c r="A27" s="3" t="s">
        <v>841</v>
      </c>
      <c r="B27" s="3" t="s">
        <v>659</v>
      </c>
      <c r="C27" s="3">
        <v>19</v>
      </c>
      <c r="D27" s="3" t="s">
        <v>713</v>
      </c>
      <c r="E27" s="4">
        <v>10.558069381598793</v>
      </c>
      <c r="F27" s="4">
        <v>8.2973206568712179</v>
      </c>
      <c r="G27" s="4">
        <v>8.7456271864067965</v>
      </c>
      <c r="H27" s="4">
        <v>8.8575742325113254</v>
      </c>
      <c r="I27" s="4">
        <v>8.9386223532565001</v>
      </c>
      <c r="J27" s="4">
        <v>6.6908986560811137</v>
      </c>
      <c r="K27" s="4">
        <v>2.514733055619335</v>
      </c>
      <c r="L27" s="4">
        <v>0.69620938778571251</v>
      </c>
      <c r="M27" s="4">
        <v>8.5872792506499138</v>
      </c>
      <c r="N27" s="4">
        <v>10.367975442126038</v>
      </c>
      <c r="O27" s="4">
        <v>12.805583440201088</v>
      </c>
      <c r="P27" s="4">
        <v>8.1887441792829954</v>
      </c>
      <c r="Q27" s="4">
        <v>9.7982410984690151</v>
      </c>
      <c r="R27" s="4">
        <v>9.7650661636938789</v>
      </c>
      <c r="S27" s="4">
        <v>9.0133841829299666</v>
      </c>
      <c r="T27" s="4">
        <v>8.9628546954276711</v>
      </c>
      <c r="U27" s="4">
        <v>7.8727978541293178</v>
      </c>
      <c r="V27" s="4">
        <v>8.3985906340316738</v>
      </c>
      <c r="W27" s="4">
        <v>8.7759981034030545</v>
      </c>
      <c r="X27" s="4">
        <v>7.0677752744124884</v>
      </c>
      <c r="Y27" s="4">
        <v>17.886178861788618</v>
      </c>
      <c r="Z27" s="4">
        <v>10.8</v>
      </c>
      <c r="AA27" s="4">
        <v>12.6</v>
      </c>
      <c r="AB27" s="4">
        <v>10.955652043110826</v>
      </c>
      <c r="AC27" s="4">
        <v>14.389924651668812</v>
      </c>
      <c r="AD27" s="4">
        <v>11.323339548905311</v>
      </c>
      <c r="AE27" s="4">
        <v>11.146404053591354</v>
      </c>
      <c r="AF27" s="4">
        <v>11.220979081266908</v>
      </c>
      <c r="AG27" s="4">
        <v>12.514589160290857</v>
      </c>
      <c r="AH27" s="4">
        <v>12.578335818786851</v>
      </c>
      <c r="AI27" s="4">
        <v>8.6900076068154366</v>
      </c>
      <c r="AJ27" s="4">
        <v>7.6672640546019482</v>
      </c>
      <c r="AK27" s="4">
        <v>10.457013605995559</v>
      </c>
      <c r="AL27" s="4">
        <v>10.447141119244739</v>
      </c>
      <c r="AM27" s="4">
        <v>10.928222218054886</v>
      </c>
      <c r="AN27" s="4">
        <v>11.571116625470168</v>
      </c>
      <c r="AO27" s="4">
        <v>7.4124462458614166</v>
      </c>
      <c r="AP27" s="4">
        <v>7.4507289364680265</v>
      </c>
      <c r="AQ27" s="4">
        <v>9.0411979621037215</v>
      </c>
      <c r="AR27" s="4">
        <v>8.2677205202390738</v>
      </c>
      <c r="AS27" s="4">
        <v>11.526742849494106</v>
      </c>
      <c r="AT27" s="4">
        <v>11.852836614341598</v>
      </c>
      <c r="AU27" s="4">
        <v>8.9319338123334528</v>
      </c>
      <c r="AV27" s="4">
        <v>9.4401288777841188</v>
      </c>
      <c r="AW27" s="4">
        <v>9.5</v>
      </c>
      <c r="AX27" s="4">
        <v>9.4</v>
      </c>
      <c r="AY27" s="73">
        <v>14.139612998855473</v>
      </c>
      <c r="AZ27" s="73">
        <v>13.485294542947674</v>
      </c>
      <c r="BA27" s="73">
        <v>12.918683809638804</v>
      </c>
      <c r="BB27" s="73">
        <v>14.805785254401272</v>
      </c>
      <c r="BC27" s="73">
        <v>17.732784551130926</v>
      </c>
      <c r="BD27" s="73">
        <v>16.939941392017914</v>
      </c>
      <c r="BE27" s="73">
        <v>14.0488036634178</v>
      </c>
      <c r="BF27" s="73">
        <v>18.716123008879869</v>
      </c>
      <c r="BG27" s="73">
        <v>11.643062482767547</v>
      </c>
      <c r="BH27" s="73">
        <v>12.937826147667586</v>
      </c>
      <c r="BI27" s="73">
        <v>14.611623515327842</v>
      </c>
      <c r="BJ27" s="73">
        <v>14.301996368824168</v>
      </c>
      <c r="BK27" s="73">
        <v>13.821766108025571</v>
      </c>
      <c r="BL27" s="73">
        <v>13.207613167945089</v>
      </c>
      <c r="BM27" s="73">
        <v>12.505639093645868</v>
      </c>
      <c r="BN27" s="73">
        <v>15.110199699449971</v>
      </c>
      <c r="BO27" s="73">
        <v>13.846947063571038</v>
      </c>
      <c r="BP27" s="5">
        <v>10.955652043110826</v>
      </c>
      <c r="BQ27" s="5">
        <v>14.389924651668812</v>
      </c>
      <c r="BR27" s="5">
        <v>11.323339548905311</v>
      </c>
      <c r="BS27" s="5">
        <v>11.146404053591354</v>
      </c>
      <c r="BT27" s="5">
        <v>11.220979081266909</v>
      </c>
      <c r="BU27" s="5">
        <v>12.514589160290855</v>
      </c>
      <c r="BV27" s="5">
        <v>12.578335818786851</v>
      </c>
      <c r="BW27" s="5">
        <v>8.6900076068154366</v>
      </c>
      <c r="BX27" s="5">
        <v>7.6672640546019499</v>
      </c>
      <c r="BY27" s="5">
        <v>10.457013605995561</v>
      </c>
      <c r="BZ27" s="5">
        <v>10.45</v>
      </c>
      <c r="CA27" s="5">
        <v>10.93</v>
      </c>
      <c r="CB27" s="5">
        <v>11.57</v>
      </c>
      <c r="CC27" s="5">
        <v>7.4124462458614166</v>
      </c>
      <c r="CD27" s="5">
        <v>7.4507289364680247</v>
      </c>
      <c r="CE27" s="5">
        <v>9.0411979621037197</v>
      </c>
      <c r="CF27" s="5">
        <v>8.2677205202390738</v>
      </c>
      <c r="CG27" s="5">
        <v>11.526742849494106</v>
      </c>
      <c r="CH27" s="5">
        <v>11.852837655391312</v>
      </c>
      <c r="CI27" s="35">
        <v>11</v>
      </c>
      <c r="CJ27" s="35">
        <v>14.4</v>
      </c>
      <c r="CK27" s="35">
        <v>11.3</v>
      </c>
      <c r="CL27" s="35">
        <v>11.1</v>
      </c>
      <c r="CM27" s="35">
        <v>11.2</v>
      </c>
      <c r="CN27" s="35">
        <v>12.5</v>
      </c>
      <c r="CO27" s="35">
        <v>12.6</v>
      </c>
      <c r="CP27" s="35">
        <v>8.6999999999999993</v>
      </c>
      <c r="CQ27" s="35">
        <v>7.7</v>
      </c>
      <c r="CR27" s="35">
        <v>10.5</v>
      </c>
      <c r="CS27" s="35">
        <v>10.4</v>
      </c>
      <c r="CT27" s="35">
        <v>10.9</v>
      </c>
      <c r="CU27" s="35">
        <v>11.6</v>
      </c>
      <c r="CV27" s="35">
        <v>7.4</v>
      </c>
      <c r="CW27" s="83">
        <v>60.438332735268098</v>
      </c>
      <c r="CX27" s="83">
        <v>86.541366584257815</v>
      </c>
      <c r="CY27" s="83">
        <v>81.137727980139999</v>
      </c>
      <c r="CZ27" s="83">
        <v>95.630202899406399</v>
      </c>
      <c r="DA27" s="83">
        <v>87.708718391397667</v>
      </c>
      <c r="DB27" s="83">
        <v>82.938586325386837</v>
      </c>
      <c r="DC27" s="83">
        <v>87.019896031660664</v>
      </c>
      <c r="DD27" s="83">
        <v>66.07867745341369</v>
      </c>
      <c r="DE27" s="83">
        <v>74.711591760946021</v>
      </c>
      <c r="DF27" s="83">
        <v>94.21077144064779</v>
      </c>
      <c r="DG27" s="83">
        <v>129.14186671303662</v>
      </c>
      <c r="DH27" s="83">
        <v>81.882788705830251</v>
      </c>
      <c r="DI27" s="83">
        <v>81.120877464533336</v>
      </c>
      <c r="DJ27" s="83">
        <v>60.376896265129425</v>
      </c>
      <c r="DK27" s="45">
        <v>6.9803921568627456E-2</v>
      </c>
      <c r="DL27" s="45">
        <v>0.111957796014068</v>
      </c>
      <c r="DM27" s="45">
        <v>9.5140839077525324E-2</v>
      </c>
      <c r="DN27" s="38">
        <v>0.11608257321171388</v>
      </c>
      <c r="DO27" s="38">
        <v>0.10862120309708159</v>
      </c>
      <c r="DP27" s="35">
        <v>11.3</v>
      </c>
      <c r="DQ27" s="35">
        <v>10.5</v>
      </c>
      <c r="DR27" s="79">
        <v>137.1</v>
      </c>
      <c r="DS27" s="79">
        <v>142.30000000000001</v>
      </c>
      <c r="DT27" s="214">
        <v>7.4507289364680249E-2</v>
      </c>
      <c r="DU27" s="214">
        <v>9.0411979621037197E-2</v>
      </c>
      <c r="DV27" s="214">
        <v>8.2677205202390747E-2</v>
      </c>
      <c r="DW27" s="214">
        <v>0.11526742849494107</v>
      </c>
      <c r="DX27" s="214">
        <v>0.11852836614341598</v>
      </c>
      <c r="DY27" s="214">
        <v>8.9319338123334521E-2</v>
      </c>
      <c r="DZ27" s="214">
        <v>9.440128877784118E-2</v>
      </c>
      <c r="EA27" s="214">
        <v>9.5174022141053513E-2</v>
      </c>
      <c r="EB27" s="214">
        <v>9.4131055343673317E-2</v>
      </c>
      <c r="EC27" s="214">
        <v>0.10292302951377445</v>
      </c>
    </row>
    <row r="28" spans="1:133">
      <c r="A28" s="3" t="s">
        <v>660</v>
      </c>
      <c r="B28" s="3" t="s">
        <v>661</v>
      </c>
      <c r="C28" s="3">
        <v>20</v>
      </c>
      <c r="D28" s="3" t="s">
        <v>541</v>
      </c>
      <c r="E28" s="4">
        <v>8.2373782108060229</v>
      </c>
      <c r="F28" s="4">
        <v>7.2607260726072615</v>
      </c>
      <c r="G28" s="4">
        <v>5.260011954572624</v>
      </c>
      <c r="H28" s="4">
        <v>5.5545820921675126</v>
      </c>
      <c r="I28" s="4">
        <v>6.8276340110905736</v>
      </c>
      <c r="J28" s="4">
        <v>6.517448640889925</v>
      </c>
      <c r="K28" s="4">
        <v>4.3883838575938539</v>
      </c>
      <c r="L28" s="4">
        <v>4.5701407618132777</v>
      </c>
      <c r="M28" s="4">
        <v>4.9643566089665532</v>
      </c>
      <c r="N28" s="4">
        <v>4.9176809886901145</v>
      </c>
      <c r="O28" s="4">
        <v>4.2749996994479771</v>
      </c>
      <c r="P28" s="4">
        <v>3.8013933209312936</v>
      </c>
      <c r="Q28" s="4">
        <v>3.9728155038271722</v>
      </c>
      <c r="R28" s="4">
        <v>3.7499800834699255</v>
      </c>
      <c r="S28" s="4">
        <v>5.0900063818694905</v>
      </c>
      <c r="T28" s="4">
        <v>5.2608887518441039</v>
      </c>
      <c r="U28" s="4">
        <v>4.6182209261374298</v>
      </c>
      <c r="V28" s="4">
        <v>4.2031357318502538</v>
      </c>
      <c r="W28" s="4">
        <v>4.9144023555568381</v>
      </c>
      <c r="X28" s="4">
        <v>6.8703812026792113</v>
      </c>
      <c r="Y28" s="4">
        <v>5.4056347589952471</v>
      </c>
      <c r="Z28" s="4">
        <v>6.2</v>
      </c>
      <c r="AA28" s="4">
        <v>9.1</v>
      </c>
      <c r="AB28" s="4">
        <v>6.3808863762116088</v>
      </c>
      <c r="AC28" s="4">
        <v>8.7039166310244624</v>
      </c>
      <c r="AD28" s="4">
        <v>9.2516849021339524</v>
      </c>
      <c r="AE28" s="4">
        <v>10.083777644228535</v>
      </c>
      <c r="AF28" s="4">
        <v>9.9753890556050244</v>
      </c>
      <c r="AG28" s="4">
        <v>8.3070993256793741</v>
      </c>
      <c r="AH28" s="4">
        <v>9.3909678078814984</v>
      </c>
      <c r="AI28" s="4">
        <v>7.5406524618900237</v>
      </c>
      <c r="AJ28" s="4">
        <v>9.5075091393639308</v>
      </c>
      <c r="AK28" s="4">
        <v>8.1848670705078685</v>
      </c>
      <c r="AL28" s="4">
        <v>9.0101014619275919</v>
      </c>
      <c r="AM28" s="4">
        <v>8.5320501490511482</v>
      </c>
      <c r="AN28" s="4">
        <v>7.6200105012149413</v>
      </c>
      <c r="AO28" s="4">
        <v>8.3375168982596026</v>
      </c>
      <c r="AP28" s="4">
        <v>8.9000000000534936</v>
      </c>
      <c r="AQ28" s="4">
        <v>8.5000000001667964</v>
      </c>
      <c r="AR28" s="4">
        <v>8.2000000000929614</v>
      </c>
      <c r="AS28" s="4">
        <v>10.554838157040624</v>
      </c>
      <c r="AT28" s="4">
        <v>9.4174728331971593</v>
      </c>
      <c r="AU28" s="4">
        <v>9.9017330789781042</v>
      </c>
      <c r="AV28" s="4">
        <v>9.6219138699331914</v>
      </c>
      <c r="AW28" s="4">
        <v>10.1</v>
      </c>
      <c r="AX28" s="4">
        <v>10.6</v>
      </c>
      <c r="AY28" s="73">
        <v>15.065947472367469</v>
      </c>
      <c r="AZ28" s="73">
        <v>15.406007657620194</v>
      </c>
      <c r="BA28" s="73">
        <v>16.071796357193687</v>
      </c>
      <c r="BB28" s="73">
        <v>13.373529059701994</v>
      </c>
      <c r="BC28" s="73">
        <v>15.016885488069548</v>
      </c>
      <c r="BD28" s="73">
        <v>13.491222832845692</v>
      </c>
      <c r="BE28" s="73">
        <v>16.36090740400995</v>
      </c>
      <c r="BF28" s="73">
        <v>13.439332349903168</v>
      </c>
      <c r="BG28" s="73">
        <v>14.582578488669936</v>
      </c>
      <c r="BH28" s="73">
        <v>14.816031561100765</v>
      </c>
      <c r="BI28" s="73">
        <v>12.576093906335903</v>
      </c>
      <c r="BJ28" s="73">
        <v>14.563190903901758</v>
      </c>
      <c r="BK28" s="73">
        <v>15.160738911333826</v>
      </c>
      <c r="BL28" s="73">
        <v>11.93429485635653</v>
      </c>
      <c r="BM28" s="73">
        <v>13.306320124734109</v>
      </c>
      <c r="BN28" s="73">
        <v>11.562090653531962</v>
      </c>
      <c r="BO28" s="73">
        <v>13.321110647877003</v>
      </c>
      <c r="BP28" s="5">
        <v>6.3808863762116088</v>
      </c>
      <c r="BQ28" s="5">
        <v>8.7039166310244607</v>
      </c>
      <c r="BR28" s="5">
        <v>9.2516849021339524</v>
      </c>
      <c r="BS28" s="5">
        <v>10.083777644228535</v>
      </c>
      <c r="BT28" s="5">
        <v>9.9753890556050226</v>
      </c>
      <c r="BU28" s="5">
        <v>8.3070993256793741</v>
      </c>
      <c r="BV28" s="5">
        <v>9.3909678078814984</v>
      </c>
      <c r="BW28" s="5">
        <v>7.5406524618900228</v>
      </c>
      <c r="BX28" s="5">
        <v>9.5075091393639308</v>
      </c>
      <c r="BY28" s="5">
        <v>8.9861582535426106</v>
      </c>
      <c r="BZ28" s="5">
        <v>9.01</v>
      </c>
      <c r="CA28" s="5">
        <v>8.5299999999999994</v>
      </c>
      <c r="CB28" s="5">
        <v>7.62</v>
      </c>
      <c r="CC28" s="5">
        <v>8.3375168982596044</v>
      </c>
      <c r="CD28" s="5">
        <v>8.9000000000534936</v>
      </c>
      <c r="CE28" s="5">
        <v>8.5000000001667946</v>
      </c>
      <c r="CF28" s="5">
        <v>8.2000000000929614</v>
      </c>
      <c r="CG28" s="5">
        <v>11.377739736053913</v>
      </c>
      <c r="CH28" s="5">
        <v>10.185412655911536</v>
      </c>
      <c r="CI28" s="35">
        <v>6.4</v>
      </c>
      <c r="CJ28" s="35">
        <v>8.6999999999999993</v>
      </c>
      <c r="CK28" s="35">
        <v>9.3000000000000007</v>
      </c>
      <c r="CL28" s="35">
        <v>10.1</v>
      </c>
      <c r="CM28" s="35">
        <v>10</v>
      </c>
      <c r="CN28" s="35">
        <v>8.3000000000000007</v>
      </c>
      <c r="CO28" s="35">
        <v>9.4</v>
      </c>
      <c r="CP28" s="35">
        <v>7.5</v>
      </c>
      <c r="CQ28" s="35">
        <v>9.5</v>
      </c>
      <c r="CR28" s="35">
        <v>8.1999999999999993</v>
      </c>
      <c r="CS28" s="35">
        <v>9</v>
      </c>
      <c r="CT28" s="35">
        <v>8.5</v>
      </c>
      <c r="CU28" s="35">
        <v>7.6</v>
      </c>
      <c r="CV28" s="35">
        <v>8.3000000000000007</v>
      </c>
      <c r="CW28" s="83">
        <v>49.980620195292254</v>
      </c>
      <c r="CX28" s="83">
        <v>64.166642878155045</v>
      </c>
      <c r="CY28" s="83">
        <v>78.940203715753725</v>
      </c>
      <c r="CZ28" s="83">
        <v>101.02095557599671</v>
      </c>
      <c r="DA28" s="83">
        <v>106.37421702101956</v>
      </c>
      <c r="DB28" s="83">
        <v>100.18660491322586</v>
      </c>
      <c r="DC28" s="83">
        <v>114.03638431684534</v>
      </c>
      <c r="DD28" s="83">
        <v>99.400167458569399</v>
      </c>
      <c r="DE28" s="83">
        <v>128.05938170644788</v>
      </c>
      <c r="DF28" s="83">
        <v>118.19347846901175</v>
      </c>
      <c r="DG28" s="83">
        <v>129.81356851020504</v>
      </c>
      <c r="DH28" s="83">
        <v>85.962742784291208</v>
      </c>
      <c r="DI28" s="83">
        <v>103.0579617856671</v>
      </c>
      <c r="DJ28" s="83">
        <v>120.800777217102</v>
      </c>
      <c r="DK28" s="45">
        <v>0.13799525905858448</v>
      </c>
      <c r="DL28" s="45">
        <v>0.10726333544170358</v>
      </c>
      <c r="DM28" s="45">
        <v>5.2998065764023224E-2</v>
      </c>
      <c r="DN28" s="38">
        <v>7.6101211139396746E-2</v>
      </c>
      <c r="DO28" s="38">
        <v>9.216765130961739E-2</v>
      </c>
      <c r="DP28" s="35">
        <v>9.3000000000000007</v>
      </c>
      <c r="DQ28" s="35">
        <v>9</v>
      </c>
      <c r="DR28" s="79">
        <v>236.9</v>
      </c>
      <c r="DS28" s="79">
        <v>344</v>
      </c>
      <c r="DT28" s="214">
        <v>8.4816012806499183E-2</v>
      </c>
      <c r="DU28" s="214">
        <v>8.2518001782788397E-2</v>
      </c>
      <c r="DV28" s="214">
        <v>7.8492275632401423E-2</v>
      </c>
      <c r="DW28" s="214">
        <v>0.10554838157040625</v>
      </c>
      <c r="DX28" s="214">
        <v>9.4174728331971588E-2</v>
      </c>
      <c r="DY28" s="214">
        <v>9.9017330789781033E-2</v>
      </c>
      <c r="DZ28" s="214">
        <v>9.6349198020412655E-2</v>
      </c>
      <c r="EA28" s="214">
        <v>0.1006608110093478</v>
      </c>
      <c r="EB28" s="214">
        <v>0.10596119101184329</v>
      </c>
      <c r="EC28" s="214">
        <v>9.8962129998186293E-2</v>
      </c>
    </row>
    <row r="29" spans="1:133">
      <c r="A29" s="3" t="s">
        <v>80</v>
      </c>
      <c r="B29" s="3" t="s">
        <v>747</v>
      </c>
      <c r="C29" s="3">
        <v>21</v>
      </c>
      <c r="D29" s="3" t="s">
        <v>759</v>
      </c>
      <c r="E29" s="4">
        <v>6.9037321800416471</v>
      </c>
      <c r="F29" s="4">
        <v>7.8098020985522636</v>
      </c>
      <c r="G29" s="4">
        <v>8.0740999650471856</v>
      </c>
      <c r="H29" s="4">
        <v>7.6183619886507996</v>
      </c>
      <c r="I29" s="4">
        <v>7.176824409428578</v>
      </c>
      <c r="J29" s="4">
        <v>8.2219836336241503</v>
      </c>
      <c r="K29" s="4">
        <v>6.3817863247129152</v>
      </c>
      <c r="L29" s="4">
        <v>5.8448398168516542</v>
      </c>
      <c r="M29" s="4">
        <v>5.4144117906030083</v>
      </c>
      <c r="N29" s="4">
        <v>5.6166610271120483</v>
      </c>
      <c r="O29" s="4">
        <v>6.3948618911619253</v>
      </c>
      <c r="P29" s="4">
        <v>5.8462028769918222</v>
      </c>
      <c r="Q29" s="4">
        <v>5.8602943220579577</v>
      </c>
      <c r="R29" s="4">
        <v>6.8383040297884889</v>
      </c>
      <c r="S29" s="4">
        <v>6.7233180224738591</v>
      </c>
      <c r="T29" s="4">
        <v>7.8133130162637023</v>
      </c>
      <c r="U29" s="4">
        <v>7.7264262282615128</v>
      </c>
      <c r="V29" s="4">
        <v>6.9332500138841651</v>
      </c>
      <c r="W29" s="4">
        <v>7.0182030790491554</v>
      </c>
      <c r="X29" s="4">
        <v>6.2776856800623753</v>
      </c>
      <c r="Y29" s="4">
        <v>5.831414393669121</v>
      </c>
      <c r="Z29" s="4">
        <v>8.6</v>
      </c>
      <c r="AA29" s="4"/>
      <c r="AB29" s="4">
        <v>8.2450211404133871</v>
      </c>
      <c r="AC29" s="4">
        <v>8.3886618324771316</v>
      </c>
      <c r="AD29" s="4">
        <v>8.9796218533088688</v>
      </c>
      <c r="AE29" s="4">
        <v>8.7386233157170388</v>
      </c>
      <c r="AF29" s="4">
        <v>8.2043393746325766</v>
      </c>
      <c r="AG29" s="4">
        <v>8.5209139936633669</v>
      </c>
      <c r="AH29" s="4">
        <v>7.7752108454457582</v>
      </c>
      <c r="AI29" s="4">
        <v>6.1506984475242241</v>
      </c>
      <c r="AJ29" s="4">
        <v>7.6603784140790392</v>
      </c>
      <c r="AK29" s="4">
        <v>7.7849083895924442</v>
      </c>
      <c r="AL29" s="4">
        <v>7.8505304536045939</v>
      </c>
      <c r="AM29" s="4">
        <v>7.7263441364036778</v>
      </c>
      <c r="AN29" s="4">
        <v>8.7496972610246537</v>
      </c>
      <c r="AO29" s="4">
        <v>9.1792228849607547</v>
      </c>
      <c r="AP29" s="4">
        <v>8.633321124834989</v>
      </c>
      <c r="AQ29" s="4">
        <v>8.6636584295889687</v>
      </c>
      <c r="AR29" s="4">
        <v>9.3426869008654041</v>
      </c>
      <c r="AS29" s="4">
        <v>8.6743353386369328</v>
      </c>
      <c r="AT29" s="4">
        <v>9.1855504566267125</v>
      </c>
      <c r="AU29" s="4">
        <v>9.8937338940285358</v>
      </c>
      <c r="AV29" s="4">
        <v>10.203028833291171</v>
      </c>
      <c r="AW29" s="4">
        <v>10.199999999999999</v>
      </c>
      <c r="AX29" s="4">
        <v>10.1</v>
      </c>
      <c r="AY29" s="73">
        <v>12.613299941415356</v>
      </c>
      <c r="AZ29" s="73">
        <v>12.495269444023366</v>
      </c>
      <c r="BA29" s="73">
        <v>12.590202799208821</v>
      </c>
      <c r="BB29" s="73">
        <v>13.177391215440132</v>
      </c>
      <c r="BC29" s="73">
        <v>12.373626737473604</v>
      </c>
      <c r="BD29" s="73">
        <v>10.448088325658226</v>
      </c>
      <c r="BE29" s="73">
        <v>12.310942444689116</v>
      </c>
      <c r="BF29" s="73">
        <v>12.533356506817379</v>
      </c>
      <c r="BG29" s="73">
        <v>12.858376950198162</v>
      </c>
      <c r="BH29" s="73">
        <v>13.734239682059425</v>
      </c>
      <c r="BI29" s="73">
        <v>14.157867237355928</v>
      </c>
      <c r="BJ29" s="73">
        <v>13.674145841359126</v>
      </c>
      <c r="BK29" s="73">
        <v>13.508735430674646</v>
      </c>
      <c r="BL29" s="73">
        <v>12.830240273587487</v>
      </c>
      <c r="BM29" s="73">
        <v>13.479206795276582</v>
      </c>
      <c r="BN29" s="73">
        <v>13.749571988755049</v>
      </c>
      <c r="BO29" s="73">
        <v>14.775971930141003</v>
      </c>
      <c r="BP29" s="5">
        <v>8.2450211404133871</v>
      </c>
      <c r="BQ29" s="5">
        <v>8.3886618324771316</v>
      </c>
      <c r="BR29" s="5">
        <v>8.979621853308867</v>
      </c>
      <c r="BS29" s="5">
        <v>8.7386233157170388</v>
      </c>
      <c r="BT29" s="5">
        <v>8.2043393746325783</v>
      </c>
      <c r="BU29" s="5">
        <v>8.5209139936633651</v>
      </c>
      <c r="BV29" s="5">
        <v>7.7752108454457591</v>
      </c>
      <c r="BW29" s="5">
        <v>6.150698447524225</v>
      </c>
      <c r="BX29" s="5">
        <v>7.6603784140790383</v>
      </c>
      <c r="BY29" s="5">
        <v>7.877426433151995</v>
      </c>
      <c r="BZ29" s="5">
        <v>7.85</v>
      </c>
      <c r="CA29" s="5">
        <v>7.73</v>
      </c>
      <c r="CB29" s="5">
        <v>8.75</v>
      </c>
      <c r="CC29" s="5">
        <v>9.1792228849607564</v>
      </c>
      <c r="CD29" s="5">
        <v>8.633321124834989</v>
      </c>
      <c r="CE29" s="5">
        <v>8.6636584295889687</v>
      </c>
      <c r="CF29" s="5">
        <v>9.3426869008654059</v>
      </c>
      <c r="CG29" s="5">
        <v>9.8663087323504932</v>
      </c>
      <c r="CH29" s="5">
        <v>10.74270830697208</v>
      </c>
      <c r="CI29" s="35">
        <v>8.1999999999999993</v>
      </c>
      <c r="CJ29" s="35">
        <v>8.4</v>
      </c>
      <c r="CK29" s="35">
        <v>9</v>
      </c>
      <c r="CL29" s="35">
        <v>8.6999999999999993</v>
      </c>
      <c r="CM29" s="35">
        <v>8.1999999999999993</v>
      </c>
      <c r="CN29" s="35">
        <v>8.5</v>
      </c>
      <c r="CO29" s="35">
        <v>7.8</v>
      </c>
      <c r="CP29" s="35">
        <v>6.2</v>
      </c>
      <c r="CQ29" s="35">
        <v>7.7</v>
      </c>
      <c r="CR29" s="35">
        <v>7.8</v>
      </c>
      <c r="CS29" s="35">
        <v>7.9</v>
      </c>
      <c r="CT29" s="35">
        <v>7.7</v>
      </c>
      <c r="CU29" s="35">
        <v>8.6999999999999993</v>
      </c>
      <c r="CV29" s="35">
        <v>9.1999999999999993</v>
      </c>
      <c r="CW29" s="83">
        <v>255.94235631953606</v>
      </c>
      <c r="CX29" s="83">
        <v>296.19431499090859</v>
      </c>
      <c r="CY29" s="83">
        <v>357.26395057895485</v>
      </c>
      <c r="CZ29" s="83">
        <v>370.27055813673695</v>
      </c>
      <c r="DA29" s="83">
        <v>342.6621416361786</v>
      </c>
      <c r="DB29" s="83">
        <v>332.06209520204726</v>
      </c>
      <c r="DC29" s="83">
        <v>329.36228247878836</v>
      </c>
      <c r="DD29" s="83">
        <v>323.7424480351342</v>
      </c>
      <c r="DE29" s="83">
        <v>375.95932380432379</v>
      </c>
      <c r="DF29" s="83">
        <v>369.06094589221544</v>
      </c>
      <c r="DG29" s="83">
        <v>363.50724850179756</v>
      </c>
      <c r="DH29" s="83">
        <v>237.5087163635028</v>
      </c>
      <c r="DI29" s="83">
        <v>284.66101746808982</v>
      </c>
      <c r="DJ29" s="83">
        <v>329.33978515119054</v>
      </c>
      <c r="DK29" s="45">
        <v>9.8101265822784806E-2</v>
      </c>
      <c r="DL29" s="45">
        <v>7.5970873786407767E-2</v>
      </c>
      <c r="DM29" s="45">
        <v>7.1545929798356986E-2</v>
      </c>
      <c r="DN29" s="38">
        <v>9.192439862542956E-2</v>
      </c>
      <c r="DO29" s="38">
        <v>8.5751821330466979E-2</v>
      </c>
      <c r="DP29" s="35">
        <v>9</v>
      </c>
      <c r="DQ29" s="35">
        <v>7.9</v>
      </c>
      <c r="DR29" s="79">
        <v>65.900000000000006</v>
      </c>
      <c r="DS29" s="79">
        <v>66.099999999999994</v>
      </c>
      <c r="DT29" s="214">
        <v>7.745559262363616E-2</v>
      </c>
      <c r="DU29" s="214">
        <v>7.7386528307159058E-2</v>
      </c>
      <c r="DV29" s="214">
        <v>8.2443867376794294E-2</v>
      </c>
      <c r="DW29" s="214">
        <v>8.6743353386369321E-2</v>
      </c>
      <c r="DX29" s="214">
        <v>9.1855504566267121E-2</v>
      </c>
      <c r="DY29" s="214">
        <v>9.8937338940285363E-2</v>
      </c>
      <c r="DZ29" s="214">
        <v>0.10203028833291171</v>
      </c>
      <c r="EA29" s="214">
        <v>0.10206212261503987</v>
      </c>
      <c r="EB29" s="214">
        <v>0.10075830758390862</v>
      </c>
      <c r="EC29" s="214">
        <v>9.7566421164043279E-2</v>
      </c>
    </row>
    <row r="30" spans="1:133">
      <c r="A30" s="3" t="s">
        <v>721</v>
      </c>
      <c r="B30" s="3" t="s">
        <v>722</v>
      </c>
      <c r="C30" s="3">
        <v>22</v>
      </c>
      <c r="D30" s="3" t="s">
        <v>664</v>
      </c>
      <c r="E30" s="4">
        <v>7.0058997050147491</v>
      </c>
      <c r="F30" s="4">
        <v>6.6130473637176044</v>
      </c>
      <c r="G30" s="4">
        <v>6.1842764146219329</v>
      </c>
      <c r="H30" s="4">
        <v>8.6017430845017042</v>
      </c>
      <c r="I30" s="4">
        <v>7.8179291174426684</v>
      </c>
      <c r="J30" s="4">
        <v>6.3573315719947159</v>
      </c>
      <c r="K30" s="4">
        <v>4.9852851303967158</v>
      </c>
      <c r="L30" s="4">
        <v>5.8014082204283595</v>
      </c>
      <c r="M30" s="4">
        <v>5.2248976306743975</v>
      </c>
      <c r="N30" s="4">
        <v>7.5967445981340989</v>
      </c>
      <c r="O30" s="4">
        <v>8.7386466670835432</v>
      </c>
      <c r="P30" s="4">
        <v>10.243012612250668</v>
      </c>
      <c r="Q30" s="4">
        <v>10.349573242532836</v>
      </c>
      <c r="R30" s="4">
        <v>11.000857442291007</v>
      </c>
      <c r="S30" s="4">
        <v>9.1526389509991333</v>
      </c>
      <c r="T30" s="4">
        <v>9.4590988738090012</v>
      </c>
      <c r="U30" s="4">
        <v>9.5773807251742848</v>
      </c>
      <c r="V30" s="4">
        <v>9.1399024327845328</v>
      </c>
      <c r="W30" s="4">
        <v>9.6074198919306841</v>
      </c>
      <c r="X30" s="4">
        <v>9.1218633050694855</v>
      </c>
      <c r="Y30" s="4">
        <v>12.330013407393219</v>
      </c>
      <c r="Z30" s="4">
        <v>9.3000000000000007</v>
      </c>
      <c r="AA30" s="4"/>
      <c r="AB30" s="4">
        <v>9.2062787308835077</v>
      </c>
      <c r="AC30" s="4">
        <v>9.2953626051257423</v>
      </c>
      <c r="AD30" s="4">
        <v>9.4473340316042549</v>
      </c>
      <c r="AE30" s="4">
        <v>9.658494871281027</v>
      </c>
      <c r="AF30" s="4">
        <v>10.869630521664931</v>
      </c>
      <c r="AG30" s="4">
        <v>10.495347532172248</v>
      </c>
      <c r="AH30" s="4">
        <v>9.9233660763407361</v>
      </c>
      <c r="AI30" s="4">
        <v>9.6205920782834173</v>
      </c>
      <c r="AJ30" s="4">
        <v>10.336076752856947</v>
      </c>
      <c r="AK30" s="4">
        <v>11.059665448353261</v>
      </c>
      <c r="AL30" s="4">
        <v>11.130659890811003</v>
      </c>
      <c r="AM30" s="4">
        <v>10.840425780219572</v>
      </c>
      <c r="AN30" s="4">
        <v>10.708258169396496</v>
      </c>
      <c r="AO30" s="4">
        <v>13.648621735698113</v>
      </c>
      <c r="AP30" s="4">
        <v>9.6252528639557564</v>
      </c>
      <c r="AQ30" s="4">
        <v>10.946095073580857</v>
      </c>
      <c r="AR30" s="4">
        <v>9.7968004688289803</v>
      </c>
      <c r="AS30" s="4">
        <v>10.252425392297029</v>
      </c>
      <c r="AT30" s="4">
        <v>8.8031430961235557</v>
      </c>
      <c r="AU30" s="4">
        <v>9.4236197893032525</v>
      </c>
      <c r="AV30" s="4">
        <v>9.7334811422780341</v>
      </c>
      <c r="AW30" s="4">
        <v>10.1</v>
      </c>
      <c r="AX30" s="4">
        <v>9.8000000000000007</v>
      </c>
      <c r="AY30" s="73">
        <v>14.9673288346872</v>
      </c>
      <c r="AZ30" s="73">
        <v>16.696203449538753</v>
      </c>
      <c r="BA30" s="73">
        <v>18.614487887159413</v>
      </c>
      <c r="BB30" s="73">
        <v>19.057806093360309</v>
      </c>
      <c r="BC30" s="73">
        <v>18.294421148015356</v>
      </c>
      <c r="BD30" s="73">
        <v>18.151666416683632</v>
      </c>
      <c r="BE30" s="73">
        <v>19.232040703682021</v>
      </c>
      <c r="BF30" s="73">
        <v>20.145476184401183</v>
      </c>
      <c r="BG30" s="73">
        <v>20.599115034947747</v>
      </c>
      <c r="BH30" s="73">
        <v>21.531001348884228</v>
      </c>
      <c r="BI30" s="73">
        <v>21.683017461726287</v>
      </c>
      <c r="BJ30" s="73">
        <v>21.852198565150523</v>
      </c>
      <c r="BK30" s="73">
        <v>18.786986977912253</v>
      </c>
      <c r="BL30" s="73">
        <v>17.889226266992743</v>
      </c>
      <c r="BM30" s="73">
        <v>16.068002716196926</v>
      </c>
      <c r="BN30" s="73">
        <v>15.208797707594496</v>
      </c>
      <c r="BO30" s="73">
        <v>14.528721319915295</v>
      </c>
      <c r="BP30" s="5">
        <v>9.2062787308835077</v>
      </c>
      <c r="BQ30" s="5">
        <v>9.2953626051257405</v>
      </c>
      <c r="BR30" s="5">
        <v>9.4473340316042549</v>
      </c>
      <c r="BS30" s="5">
        <v>9.658494871281027</v>
      </c>
      <c r="BT30" s="5">
        <v>10.869630521664931</v>
      </c>
      <c r="BU30" s="5">
        <v>10.49534753217225</v>
      </c>
      <c r="BV30" s="5">
        <v>9.9233660763407361</v>
      </c>
      <c r="BW30" s="5">
        <v>9.6205920782834156</v>
      </c>
      <c r="BX30" s="5">
        <v>10.336076752856949</v>
      </c>
      <c r="BY30" s="5">
        <v>11.059665448353257</v>
      </c>
      <c r="BZ30" s="5">
        <v>11.13</v>
      </c>
      <c r="CA30" s="5">
        <v>10.84</v>
      </c>
      <c r="CB30" s="5">
        <v>10.71</v>
      </c>
      <c r="CC30" s="5">
        <v>13.648621735698113</v>
      </c>
      <c r="CD30" s="5">
        <v>9.6252528639557564</v>
      </c>
      <c r="CE30" s="5">
        <v>10.946095073580899</v>
      </c>
      <c r="CF30" s="5">
        <v>9.7968004688289803</v>
      </c>
      <c r="CG30" s="5">
        <v>10.252425392297029</v>
      </c>
      <c r="CH30" s="5">
        <v>8.8031441091632896</v>
      </c>
      <c r="CI30" s="35">
        <v>9.1999999999999993</v>
      </c>
      <c r="CJ30" s="35">
        <v>9.3000000000000007</v>
      </c>
      <c r="CK30" s="35">
        <v>9.4</v>
      </c>
      <c r="CL30" s="35">
        <v>9.6999999999999993</v>
      </c>
      <c r="CM30" s="35">
        <v>10.9</v>
      </c>
      <c r="CN30" s="35">
        <v>10.5</v>
      </c>
      <c r="CO30" s="35">
        <v>9.9</v>
      </c>
      <c r="CP30" s="35">
        <v>9.6</v>
      </c>
      <c r="CQ30" s="35">
        <v>10.3</v>
      </c>
      <c r="CR30" s="35">
        <v>11.1</v>
      </c>
      <c r="CS30" s="35">
        <v>11.1</v>
      </c>
      <c r="CT30" s="35">
        <v>10.8</v>
      </c>
      <c r="CU30" s="35">
        <v>10.7</v>
      </c>
      <c r="CV30" s="35">
        <v>13.6</v>
      </c>
      <c r="CW30" s="83">
        <v>90.64909922091519</v>
      </c>
      <c r="CX30" s="83">
        <v>109.41994582914531</v>
      </c>
      <c r="CY30" s="83">
        <v>126.86580293734279</v>
      </c>
      <c r="CZ30" s="83">
        <v>133.56976871932923</v>
      </c>
      <c r="DA30" s="83">
        <v>124.83588528489055</v>
      </c>
      <c r="DB30" s="83">
        <v>113.54042296851006</v>
      </c>
      <c r="DC30" s="83">
        <v>124.95180149980624</v>
      </c>
      <c r="DD30" s="83">
        <v>132.84799158980567</v>
      </c>
      <c r="DE30" s="83">
        <v>140.2897754311939</v>
      </c>
      <c r="DF30" s="83">
        <v>150.82617514637377</v>
      </c>
      <c r="DG30" s="83">
        <v>148.41958140405262</v>
      </c>
      <c r="DH30" s="83">
        <v>103.30697672158912</v>
      </c>
      <c r="DI30" s="83">
        <v>88.567126150152575</v>
      </c>
      <c r="DJ30" s="83">
        <v>157.20495818776789</v>
      </c>
      <c r="DK30" s="45">
        <v>0.13307692307692309</v>
      </c>
      <c r="DL30" s="45">
        <v>7.6021869304868525E-2</v>
      </c>
      <c r="DM30" s="45">
        <v>6.6810344827586202E-2</v>
      </c>
      <c r="DN30" s="38">
        <v>0.12200050517807527</v>
      </c>
      <c r="DO30" s="38">
        <v>0.12149009956370958</v>
      </c>
      <c r="DP30" s="35">
        <v>9.5</v>
      </c>
      <c r="DQ30" s="35">
        <v>11.1</v>
      </c>
      <c r="DR30" s="79">
        <v>98.6</v>
      </c>
      <c r="DS30" s="79">
        <v>114</v>
      </c>
      <c r="DT30" s="214">
        <v>9.625252863955755E-2</v>
      </c>
      <c r="DU30" s="214">
        <v>0.10946095073580857</v>
      </c>
      <c r="DV30" s="214">
        <v>9.7968004688289811E-2</v>
      </c>
      <c r="DW30" s="214">
        <v>0.10252425392297029</v>
      </c>
      <c r="DX30" s="214">
        <v>8.8031430961235557E-2</v>
      </c>
      <c r="DY30" s="214">
        <v>9.4236197893032531E-2</v>
      </c>
      <c r="DZ30" s="214">
        <v>9.7334811422780332E-2</v>
      </c>
      <c r="EA30" s="214">
        <v>0.10092490758912853</v>
      </c>
      <c r="EB30" s="214">
        <v>9.7613068278760873E-2</v>
      </c>
      <c r="EC30" s="214">
        <v>9.3620128807178016E-2</v>
      </c>
    </row>
    <row r="31" spans="1:133">
      <c r="A31" s="3" t="s">
        <v>723</v>
      </c>
      <c r="B31" s="3" t="s">
        <v>724</v>
      </c>
      <c r="C31" s="3">
        <v>23</v>
      </c>
      <c r="D31" s="3" t="s">
        <v>541</v>
      </c>
      <c r="E31" s="4">
        <v>0.51546391752577325</v>
      </c>
      <c r="F31" s="4">
        <v>0.27932960893854752</v>
      </c>
      <c r="G31" s="4">
        <v>4.5351473922902494</v>
      </c>
      <c r="H31" s="4">
        <v>7.8158458244111344</v>
      </c>
      <c r="I31" s="4">
        <v>10.796576695194206</v>
      </c>
      <c r="J31" s="4">
        <v>6.774245087074612</v>
      </c>
      <c r="K31" s="4">
        <v>7.2268156424580994</v>
      </c>
      <c r="L31" s="4">
        <v>7.6372190956472021</v>
      </c>
      <c r="M31" s="4">
        <v>7.7161574045894454</v>
      </c>
      <c r="N31" s="4">
        <v>7.9104892582601325</v>
      </c>
      <c r="O31" s="4">
        <v>5.7002726160523869</v>
      </c>
      <c r="P31" s="4">
        <v>4.7011535755733878</v>
      </c>
      <c r="Q31" s="4">
        <v>7.6604030246855954</v>
      </c>
      <c r="R31" s="4">
        <v>5.5719889493016295</v>
      </c>
      <c r="S31" s="4">
        <v>8.6252770451569045</v>
      </c>
      <c r="T31" s="4">
        <v>11.445906486634803</v>
      </c>
      <c r="U31" s="4">
        <v>8.1089622922718476</v>
      </c>
      <c r="V31" s="4">
        <v>7.0897565690989985</v>
      </c>
      <c r="W31" s="4">
        <v>8.551592611217524</v>
      </c>
      <c r="X31" s="4">
        <v>11.332763988832676</v>
      </c>
      <c r="Y31" s="4">
        <v>6.9161920260374297</v>
      </c>
      <c r="Z31" s="4"/>
      <c r="AA31" s="4"/>
      <c r="AB31" s="4">
        <v>12.005368089170064</v>
      </c>
      <c r="AC31" s="4">
        <v>13.146326771324407</v>
      </c>
      <c r="AD31" s="4">
        <v>11.804411111982725</v>
      </c>
      <c r="AE31" s="4">
        <v>13.613485345142292</v>
      </c>
      <c r="AF31" s="4">
        <v>12.743870878817745</v>
      </c>
      <c r="AG31" s="4">
        <v>11.445671055346676</v>
      </c>
      <c r="AH31" s="4">
        <v>10.564227351548768</v>
      </c>
      <c r="AI31" s="4">
        <v>11.717782088816325</v>
      </c>
      <c r="AJ31" s="4">
        <v>10.04063140481888</v>
      </c>
      <c r="AK31" s="4">
        <v>9.0619138859505561</v>
      </c>
      <c r="AL31" s="4">
        <v>8.1059659949933174</v>
      </c>
      <c r="AM31" s="4">
        <v>9.1335387905620902</v>
      </c>
      <c r="AN31" s="4">
        <v>8.5608858001491246</v>
      </c>
      <c r="AO31" s="4">
        <v>10.064162472140776</v>
      </c>
      <c r="AP31" s="4">
        <v>9.1651536528508917</v>
      </c>
      <c r="AQ31" s="4">
        <v>10.991436925020814</v>
      </c>
      <c r="AR31" s="4">
        <v>9.5999999999907573</v>
      </c>
      <c r="AS31" s="4">
        <v>8.2540622361702471</v>
      </c>
      <c r="AT31" s="4">
        <v>10.03143696406047</v>
      </c>
      <c r="AU31" s="4">
        <v>8.9416524189273083</v>
      </c>
      <c r="AV31" s="4">
        <v>9.5597618029015123</v>
      </c>
      <c r="AW31" s="4">
        <v>9.1</v>
      </c>
      <c r="AX31" s="4">
        <v>9.8000000000000007</v>
      </c>
      <c r="AY31" s="73">
        <v>14.642766957872617</v>
      </c>
      <c r="AZ31" s="73">
        <v>19.389591422885491</v>
      </c>
      <c r="BA31" s="73">
        <v>19.357809500737293</v>
      </c>
      <c r="BB31" s="73">
        <v>18.34312190076378</v>
      </c>
      <c r="BC31" s="73">
        <v>18.147555990829467</v>
      </c>
      <c r="BD31" s="73">
        <v>18.992301568824921</v>
      </c>
      <c r="BE31" s="73">
        <v>17.145680355943686</v>
      </c>
      <c r="BF31" s="73">
        <v>15.699650966558051</v>
      </c>
      <c r="BG31" s="73">
        <v>14.150535436641215</v>
      </c>
      <c r="BH31" s="73">
        <v>15.031471299023671</v>
      </c>
      <c r="BI31" s="73">
        <v>17.970165407223092</v>
      </c>
      <c r="BJ31" s="73">
        <v>16.428460390998083</v>
      </c>
      <c r="BK31" s="73">
        <v>14.617602845033472</v>
      </c>
      <c r="BL31" s="73">
        <v>16.070968795901592</v>
      </c>
      <c r="BM31" s="73">
        <v>13.164097491950194</v>
      </c>
      <c r="BN31" s="73">
        <v>15.276737791885232</v>
      </c>
      <c r="BO31" s="73">
        <v>15.141009793464058</v>
      </c>
      <c r="BP31" s="5">
        <v>12.005368089170062</v>
      </c>
      <c r="BQ31" s="5">
        <v>13.146326771324407</v>
      </c>
      <c r="BR31" s="5">
        <v>11.804411111982725</v>
      </c>
      <c r="BS31" s="5">
        <v>13.613485345142292</v>
      </c>
      <c r="BT31" s="5">
        <v>12.743870878817749</v>
      </c>
      <c r="BU31" s="5">
        <v>11.445671055346677</v>
      </c>
      <c r="BV31" s="5">
        <v>10.564227351548766</v>
      </c>
      <c r="BW31" s="5">
        <v>11.717782088816325</v>
      </c>
      <c r="BX31" s="5">
        <v>10.040631404818878</v>
      </c>
      <c r="BY31" s="5">
        <v>8.6314280622352921</v>
      </c>
      <c r="BZ31" s="5">
        <v>8.11</v>
      </c>
      <c r="CA31" s="5">
        <v>9.1300000000000008</v>
      </c>
      <c r="CB31" s="5">
        <v>8.56</v>
      </c>
      <c r="CC31" s="5">
        <v>10.064162472140774</v>
      </c>
      <c r="CD31" s="5">
        <v>9.1651536528508917</v>
      </c>
      <c r="CE31" s="5">
        <v>10.991436925020814</v>
      </c>
      <c r="CF31" s="5">
        <v>9.599999999990759</v>
      </c>
      <c r="CG31" s="5">
        <v>9.238437465694167</v>
      </c>
      <c r="CH31" s="5">
        <v>11.395493753143001</v>
      </c>
      <c r="CI31" s="35">
        <v>12</v>
      </c>
      <c r="CJ31" s="35">
        <v>13.1</v>
      </c>
      <c r="CK31" s="35">
        <v>11.8</v>
      </c>
      <c r="CL31" s="35">
        <v>13.6</v>
      </c>
      <c r="CM31" s="35">
        <v>12.7</v>
      </c>
      <c r="CN31" s="35">
        <v>11.4</v>
      </c>
      <c r="CO31" s="35">
        <v>10.6</v>
      </c>
      <c r="CP31" s="35">
        <v>11.7</v>
      </c>
      <c r="CQ31" s="35">
        <v>10</v>
      </c>
      <c r="CR31" s="35">
        <v>9.1</v>
      </c>
      <c r="CS31" s="35">
        <v>8.1</v>
      </c>
      <c r="CT31" s="35">
        <v>9.1</v>
      </c>
      <c r="CU31" s="35">
        <v>8.6</v>
      </c>
      <c r="CV31" s="35">
        <v>10.1</v>
      </c>
      <c r="CW31" s="83">
        <v>46.229908754525617</v>
      </c>
      <c r="CX31" s="83">
        <v>65.299209425076967</v>
      </c>
      <c r="CY31" s="83">
        <v>66.255149471033121</v>
      </c>
      <c r="CZ31" s="83">
        <v>93.146597594993096</v>
      </c>
      <c r="DA31" s="83">
        <v>86.070059368444859</v>
      </c>
      <c r="DB31" s="83">
        <v>68.581354077571689</v>
      </c>
      <c r="DC31" s="83">
        <v>74.56120246051367</v>
      </c>
      <c r="DD31" s="83">
        <v>84.302388831647448</v>
      </c>
      <c r="DE31" s="83">
        <v>75.923011010577937</v>
      </c>
      <c r="DF31" s="83">
        <v>63.930613617583838</v>
      </c>
      <c r="DG31" s="83">
        <v>66.322283138324792</v>
      </c>
      <c r="DH31" s="83">
        <v>45.900982790841567</v>
      </c>
      <c r="DI31" s="83">
        <v>45.979521520407665</v>
      </c>
      <c r="DJ31" s="83">
        <v>64.423126515168889</v>
      </c>
      <c r="DK31" s="45"/>
      <c r="DL31" s="45">
        <v>7.8962636342538861E-2</v>
      </c>
      <c r="DM31" s="45">
        <v>0.20000703135986503</v>
      </c>
      <c r="DN31" s="38">
        <v>0.1227975970735309</v>
      </c>
      <c r="DO31" s="38">
        <v>0.10342241979540463</v>
      </c>
      <c r="DP31" s="35">
        <v>11.8</v>
      </c>
      <c r="DQ31" s="35">
        <v>8.6</v>
      </c>
      <c r="DR31" s="79">
        <v>400.4</v>
      </c>
      <c r="DS31" s="79">
        <v>289.2</v>
      </c>
      <c r="DT31" s="214">
        <v>8.3945811407976231E-2</v>
      </c>
      <c r="DU31" s="214">
        <v>9.974131379309073E-2</v>
      </c>
      <c r="DV31" s="214">
        <v>8.7560150514867333E-2</v>
      </c>
      <c r="DW31" s="214">
        <v>8.2540622361702468E-2</v>
      </c>
      <c r="DX31" s="214">
        <v>0.10031436964060469</v>
      </c>
      <c r="DY31" s="214">
        <v>8.9416524189273081E-2</v>
      </c>
      <c r="DZ31" s="214">
        <v>9.5332972158415449E-2</v>
      </c>
      <c r="EA31" s="214">
        <v>9.0836849215201881E-2</v>
      </c>
      <c r="EB31" s="214">
        <v>9.7686954392578726E-2</v>
      </c>
      <c r="EC31" s="214">
        <v>9.1858742287294057E-2</v>
      </c>
    </row>
    <row r="32" spans="1:133">
      <c r="A32" s="3" t="s">
        <v>725</v>
      </c>
      <c r="B32" s="3" t="s">
        <v>726</v>
      </c>
      <c r="C32" s="3">
        <v>24</v>
      </c>
      <c r="D32" s="3" t="s">
        <v>664</v>
      </c>
      <c r="E32" s="4">
        <v>10.614818707304256</v>
      </c>
      <c r="F32" s="4">
        <v>11.833932657731285</v>
      </c>
      <c r="G32" s="4">
        <v>10.824085865017281</v>
      </c>
      <c r="H32" s="4">
        <v>10.088180567915218</v>
      </c>
      <c r="I32" s="4">
        <v>11.13298919695599</v>
      </c>
      <c r="J32" s="4">
        <v>11.823928435854693</v>
      </c>
      <c r="K32" s="4">
        <v>9.1462037085310097</v>
      </c>
      <c r="L32" s="4">
        <v>7.0455057517060355</v>
      </c>
      <c r="M32" s="4">
        <v>7.6027336422962177</v>
      </c>
      <c r="N32" s="4">
        <v>8.4266915583802771</v>
      </c>
      <c r="O32" s="4">
        <v>9.9396457775002158</v>
      </c>
      <c r="P32" s="4">
        <v>8.5760485456050386</v>
      </c>
      <c r="Q32" s="4">
        <v>8.3439966942301105</v>
      </c>
      <c r="R32" s="4">
        <v>9.290227849022223</v>
      </c>
      <c r="S32" s="4">
        <v>9.3874798294960655</v>
      </c>
      <c r="T32" s="4">
        <v>9.9145307327954502</v>
      </c>
      <c r="U32" s="4">
        <v>9.9154272672181296</v>
      </c>
      <c r="V32" s="4">
        <v>9.7625042164896474</v>
      </c>
      <c r="W32" s="4">
        <v>7.7594328003137187</v>
      </c>
      <c r="X32" s="4">
        <v>7.9328432707142209</v>
      </c>
      <c r="Y32" s="4">
        <v>11.053959147336663</v>
      </c>
      <c r="Z32" s="4">
        <v>33.1</v>
      </c>
      <c r="AA32" s="4">
        <v>10.4</v>
      </c>
      <c r="AB32" s="4">
        <v>10.523968779047163</v>
      </c>
      <c r="AC32" s="4">
        <v>10.321639962616166</v>
      </c>
      <c r="AD32" s="4">
        <v>10.575376758616994</v>
      </c>
      <c r="AE32" s="4">
        <v>11.35900078216701</v>
      </c>
      <c r="AF32" s="4">
        <v>9.6778264199022477</v>
      </c>
      <c r="AG32" s="4">
        <v>9.8538820753718745</v>
      </c>
      <c r="AH32" s="4">
        <v>8.8935907074060729</v>
      </c>
      <c r="AI32" s="4">
        <v>8.7667960591188638</v>
      </c>
      <c r="AJ32" s="4">
        <v>8.6987760902040776</v>
      </c>
      <c r="AK32" s="4">
        <v>9.1636136868796658</v>
      </c>
      <c r="AL32" s="4">
        <v>9.0675804582974475</v>
      </c>
      <c r="AM32" s="4">
        <v>9.6679627775131038</v>
      </c>
      <c r="AN32" s="4">
        <v>8.9920372928861312</v>
      </c>
      <c r="AO32" s="4">
        <v>8.0874471944061668</v>
      </c>
      <c r="AP32" s="4">
        <v>9.8688020745044795</v>
      </c>
      <c r="AQ32" s="4">
        <v>9.6834797602158353</v>
      </c>
      <c r="AR32" s="4">
        <v>10.51197026082149</v>
      </c>
      <c r="AS32" s="4">
        <v>11.403648398655196</v>
      </c>
      <c r="AT32" s="4">
        <v>11.733640884612145</v>
      </c>
      <c r="AU32" s="4">
        <v>12.741498840525569</v>
      </c>
      <c r="AV32" s="4">
        <v>13.91717440040758</v>
      </c>
      <c r="AW32" s="4">
        <v>15.5</v>
      </c>
      <c r="AX32" s="4">
        <v>16.399999999999999</v>
      </c>
      <c r="AY32" s="73">
        <v>14.545767616906783</v>
      </c>
      <c r="AZ32" s="73">
        <v>15.097637847997413</v>
      </c>
      <c r="BA32" s="73">
        <v>13.496789645786786</v>
      </c>
      <c r="BB32" s="73">
        <v>14.064622026053264</v>
      </c>
      <c r="BC32" s="73">
        <v>16.074532618924518</v>
      </c>
      <c r="BD32" s="73">
        <v>16.642648203516611</v>
      </c>
      <c r="BE32" s="73">
        <v>15.42339644938076</v>
      </c>
      <c r="BF32" s="73">
        <v>16.276260495118542</v>
      </c>
      <c r="BG32" s="73">
        <v>16.052579736452667</v>
      </c>
      <c r="BH32" s="73">
        <v>16.607972776998597</v>
      </c>
      <c r="BI32" s="73">
        <v>19.121189510330268</v>
      </c>
      <c r="BJ32" s="73">
        <v>18.149349492420569</v>
      </c>
      <c r="BK32" s="73">
        <v>19.402058517319432</v>
      </c>
      <c r="BL32" s="73">
        <v>18.845446966277862</v>
      </c>
      <c r="BM32" s="73">
        <v>19.317399404217564</v>
      </c>
      <c r="BN32" s="73">
        <v>19.644190729838019</v>
      </c>
      <c r="BO32" s="73">
        <v>20.212377437474451</v>
      </c>
      <c r="BP32" s="5">
        <v>10.523968779047163</v>
      </c>
      <c r="BQ32" s="5">
        <v>10.321639962616166</v>
      </c>
      <c r="BR32" s="5">
        <v>10.575376758616995</v>
      </c>
      <c r="BS32" s="5">
        <v>11.359000782167007</v>
      </c>
      <c r="BT32" s="5">
        <v>9.6778264199022477</v>
      </c>
      <c r="BU32" s="5">
        <v>9.8538820753718745</v>
      </c>
      <c r="BV32" s="5">
        <v>8.8935907074060712</v>
      </c>
      <c r="BW32" s="5">
        <v>8.7667960591188638</v>
      </c>
      <c r="BX32" s="5">
        <v>8.6987760902040776</v>
      </c>
      <c r="BY32" s="5">
        <v>9.1636136868796658</v>
      </c>
      <c r="BZ32" s="5">
        <v>9.07</v>
      </c>
      <c r="CA32" s="5">
        <v>9.67</v>
      </c>
      <c r="CB32" s="5">
        <v>8.99</v>
      </c>
      <c r="CC32" s="5">
        <v>8.0874471944061668</v>
      </c>
      <c r="CD32" s="5">
        <v>9.8688020745044795</v>
      </c>
      <c r="CE32" s="5">
        <v>9.6834797602158353</v>
      </c>
      <c r="CF32" s="5">
        <v>10.51197026082149</v>
      </c>
      <c r="CG32" s="5">
        <v>11.403648398655198</v>
      </c>
      <c r="CH32" s="5">
        <v>11.733640884612143</v>
      </c>
      <c r="CI32" s="35">
        <v>10.5</v>
      </c>
      <c r="CJ32" s="35">
        <v>10.3</v>
      </c>
      <c r="CK32" s="35">
        <v>10.6</v>
      </c>
      <c r="CL32" s="35">
        <v>11.4</v>
      </c>
      <c r="CM32" s="35">
        <v>9.6999999999999993</v>
      </c>
      <c r="CN32" s="35">
        <v>9.9</v>
      </c>
      <c r="CO32" s="35">
        <v>8.9</v>
      </c>
      <c r="CP32" s="35">
        <v>8.8000000000000007</v>
      </c>
      <c r="CQ32" s="35">
        <v>8.6999999999999993</v>
      </c>
      <c r="CR32" s="35">
        <v>9.1999999999999993</v>
      </c>
      <c r="CS32" s="35">
        <v>9.1</v>
      </c>
      <c r="CT32" s="35">
        <v>9.6999999999999993</v>
      </c>
      <c r="CU32" s="35">
        <v>9</v>
      </c>
      <c r="CV32" s="35">
        <v>8.1</v>
      </c>
      <c r="CW32" s="83">
        <v>129.11907224951486</v>
      </c>
      <c r="CX32" s="83">
        <v>160.59651469494725</v>
      </c>
      <c r="CY32" s="83">
        <v>163.10001077033095</v>
      </c>
      <c r="CZ32" s="83">
        <v>197.96085664059231</v>
      </c>
      <c r="DA32" s="83">
        <v>177.41816749213234</v>
      </c>
      <c r="DB32" s="83">
        <v>180.30317480712722</v>
      </c>
      <c r="DC32" s="83">
        <v>163.51911731256513</v>
      </c>
      <c r="DD32" s="83">
        <v>161.52928483807386</v>
      </c>
      <c r="DE32" s="83">
        <v>178.01857127826139</v>
      </c>
      <c r="DF32" s="83">
        <v>176.1981347851362</v>
      </c>
      <c r="DG32" s="83">
        <v>197.86326567868414</v>
      </c>
      <c r="DH32" s="83">
        <v>134.86914211113381</v>
      </c>
      <c r="DI32" s="83">
        <v>120.73293766905121</v>
      </c>
      <c r="DJ32" s="83">
        <v>161.63472255476799</v>
      </c>
      <c r="DK32" s="45">
        <v>0.12055749128919861</v>
      </c>
      <c r="DL32" s="45">
        <v>0.11536264991433466</v>
      </c>
      <c r="DM32" s="45">
        <v>0.1321015368675531</v>
      </c>
      <c r="DN32" s="38">
        <v>0.12134189864382584</v>
      </c>
      <c r="DO32" s="38">
        <v>0.11264494754279403</v>
      </c>
      <c r="DP32" s="35">
        <v>10.6</v>
      </c>
      <c r="DQ32" s="35">
        <v>9.1999999999999993</v>
      </c>
      <c r="DR32" s="79">
        <v>72.900000000000006</v>
      </c>
      <c r="DS32" s="79">
        <v>74.8</v>
      </c>
      <c r="DT32" s="214">
        <v>9.8688020750553551E-2</v>
      </c>
      <c r="DU32" s="214">
        <v>9.6834797596139319E-2</v>
      </c>
      <c r="DV32" s="214">
        <v>0.10511970260821488</v>
      </c>
      <c r="DW32" s="214">
        <v>0.11403648398655197</v>
      </c>
      <c r="DX32" s="214">
        <v>0.11733640884612144</v>
      </c>
      <c r="DY32" s="214">
        <v>0.1274149884052557</v>
      </c>
      <c r="DZ32" s="214">
        <v>0.13917174400407581</v>
      </c>
      <c r="EA32" s="214">
        <v>0.15453692030919522</v>
      </c>
      <c r="EB32" s="214">
        <v>0.16390038367947285</v>
      </c>
      <c r="EC32" s="214">
        <v>0.16616058241862328</v>
      </c>
    </row>
    <row r="33" spans="1:133" ht="14" customHeight="1">
      <c r="AS33" s="4"/>
      <c r="AT33" s="4"/>
      <c r="AU33" s="4"/>
      <c r="AV33" s="4"/>
      <c r="AW33" s="4"/>
      <c r="AX33" s="4"/>
      <c r="BP33" s="5"/>
      <c r="BQ33" s="5"/>
      <c r="BR33" s="5"/>
      <c r="BS33" s="5"/>
      <c r="BT33" s="5"/>
      <c r="BU33" s="5"/>
      <c r="BV33" s="5"/>
      <c r="BW33" s="5"/>
      <c r="BX33" s="5"/>
      <c r="BY33" s="5"/>
      <c r="BZ33" s="5"/>
      <c r="CA33" s="5"/>
      <c r="CB33" s="5"/>
      <c r="CC33" s="5"/>
      <c r="CD33" s="5"/>
      <c r="CE33" s="5"/>
      <c r="CF33" s="5"/>
      <c r="CG33" s="5"/>
      <c r="CH33" s="5"/>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45"/>
      <c r="DL33" s="45"/>
      <c r="DM33" s="45"/>
      <c r="DN33" s="38"/>
      <c r="DO33" s="38"/>
      <c r="DP33" s="45"/>
      <c r="DQ33" s="45"/>
      <c r="DR33" s="45"/>
      <c r="DS33" s="45"/>
    </row>
    <row r="34" spans="1:133" ht="14" customHeight="1">
      <c r="A34" s="3" t="s">
        <v>727</v>
      </c>
      <c r="B34" s="136" t="s">
        <v>2232</v>
      </c>
      <c r="E34" s="4">
        <v>8.2897254822266255</v>
      </c>
      <c r="F34" s="4">
        <v>8.7831655992680702</v>
      </c>
      <c r="G34" s="4">
        <v>8.9129661715859516</v>
      </c>
      <c r="H34" s="4">
        <v>9.1365399774339622</v>
      </c>
      <c r="I34" s="4">
        <v>9.45598517940177</v>
      </c>
      <c r="J34" s="4">
        <v>9.2821014088003473</v>
      </c>
      <c r="K34" s="4">
        <v>7.2895733382935601</v>
      </c>
      <c r="L34" s="4">
        <v>7.2322730930359524</v>
      </c>
      <c r="M34" s="4">
        <v>7.9304188308888843</v>
      </c>
      <c r="N34" s="4">
        <v>7.7137081893739481</v>
      </c>
      <c r="O34" s="4">
        <v>8.6900770251930179</v>
      </c>
      <c r="P34" s="4">
        <v>8.2784104201739623</v>
      </c>
      <c r="Q34" s="4">
        <v>8.1272742488994805</v>
      </c>
      <c r="R34" s="4">
        <v>8.9088317717198144</v>
      </c>
      <c r="S34" s="4">
        <v>9.9563946815649338</v>
      </c>
      <c r="T34" s="4">
        <v>10.191940698609212</v>
      </c>
      <c r="U34" s="4">
        <v>9.4234332692465514</v>
      </c>
      <c r="V34" s="4">
        <v>9.2015418490705994</v>
      </c>
      <c r="W34" s="4">
        <v>10.642016188169579</v>
      </c>
      <c r="X34" s="4">
        <v>9.9558055160163779</v>
      </c>
      <c r="Y34" s="4">
        <v>10.822831352975921</v>
      </c>
      <c r="Z34" s="4"/>
      <c r="AA34" s="4"/>
      <c r="AB34" s="4">
        <v>12.96944894858065</v>
      </c>
      <c r="AC34" s="4">
        <v>12.820198616766346</v>
      </c>
      <c r="AD34" s="4">
        <v>12.366058700974399</v>
      </c>
      <c r="AE34" s="4">
        <v>11.967245183750265</v>
      </c>
      <c r="AF34" s="4">
        <v>11.676494977935805</v>
      </c>
      <c r="AG34" s="4">
        <v>11.588592869271833</v>
      </c>
      <c r="AH34" s="4">
        <v>11.284693955522291</v>
      </c>
      <c r="AI34" s="4">
        <v>10.857464386348399</v>
      </c>
      <c r="AJ34" s="4">
        <v>11.319731440692429</v>
      </c>
      <c r="AK34" s="4">
        <v>11.094493791769462</v>
      </c>
      <c r="AL34" s="4">
        <v>11.141549864718002</v>
      </c>
      <c r="AM34" s="4">
        <v>11.650963427837445</v>
      </c>
      <c r="AN34" s="4">
        <v>11.491552234568241</v>
      </c>
      <c r="AO34" s="4">
        <v>10.511554411806705</v>
      </c>
      <c r="AP34" s="4">
        <v>10.475572665195402</v>
      </c>
      <c r="AQ34" s="4">
        <v>10.383775765265705</v>
      </c>
      <c r="AR34" s="4">
        <v>10.293013628743722</v>
      </c>
      <c r="AS34" s="4">
        <v>9.6012478323496513</v>
      </c>
      <c r="AT34" s="4">
        <v>10.115177161224603</v>
      </c>
      <c r="AU34" s="4">
        <v>10.001999722224483</v>
      </c>
      <c r="AV34" s="4">
        <v>10.216752367043821</v>
      </c>
      <c r="AW34" s="4"/>
      <c r="AX34" s="4"/>
      <c r="AY34" s="134">
        <v>16.5</v>
      </c>
      <c r="AZ34" s="134">
        <v>16.553786352033701</v>
      </c>
      <c r="BA34" s="134">
        <v>16.052776237511832</v>
      </c>
      <c r="BB34" s="134">
        <v>16.473663201548003</v>
      </c>
      <c r="BC34" s="134">
        <v>16.254283094400485</v>
      </c>
      <c r="BD34" s="134">
        <v>15.750633879950831</v>
      </c>
      <c r="BE34" s="134">
        <v>16.278804752038344</v>
      </c>
      <c r="BF34" s="134">
        <v>16.056795646146863</v>
      </c>
      <c r="BG34" s="134">
        <v>15.935621788324305</v>
      </c>
      <c r="BH34" s="134">
        <v>17.034574025960865</v>
      </c>
      <c r="BI34" s="134">
        <v>16.837273094371042</v>
      </c>
      <c r="BJ34" s="134">
        <v>15.814292056416202</v>
      </c>
      <c r="BK34" s="134">
        <v>15.372120941802145</v>
      </c>
      <c r="BL34" s="134">
        <v>14.993141685034296</v>
      </c>
      <c r="BM34" s="134">
        <v>15.224662701517863</v>
      </c>
      <c r="BN34" s="134">
        <v>15.127575397350984</v>
      </c>
      <c r="BO34" s="134">
        <v>15.862420094212904</v>
      </c>
      <c r="BP34" s="4">
        <v>11.566575455735624</v>
      </c>
      <c r="BQ34" s="4">
        <v>11.823740891459678</v>
      </c>
      <c r="BR34" s="4">
        <v>10.946997659406668</v>
      </c>
      <c r="BS34" s="4">
        <v>11.173517202885286</v>
      </c>
      <c r="BT34" s="4">
        <v>10.83903254513946</v>
      </c>
      <c r="BU34" s="4">
        <v>10.586278862608239</v>
      </c>
      <c r="BV34" s="4">
        <v>10.677190784201448</v>
      </c>
      <c r="BW34" s="4">
        <v>10.392484205118361</v>
      </c>
      <c r="BX34" s="4">
        <v>10.425438627431831</v>
      </c>
      <c r="BY34" s="4">
        <v>10.351437429813883</v>
      </c>
      <c r="BZ34" s="4">
        <v>10.352916666666665</v>
      </c>
      <c r="CA34" s="4">
        <v>11.090000000000003</v>
      </c>
      <c r="CB34" s="4">
        <v>11.014583333333333</v>
      </c>
      <c r="CC34" s="4">
        <v>10.092492667502087</v>
      </c>
      <c r="CD34" s="4">
        <v>10.236925643701367</v>
      </c>
      <c r="CE34" s="4">
        <v>10.128397847604944</v>
      </c>
      <c r="CF34" s="4">
        <v>10.163824958825808</v>
      </c>
      <c r="CG34" s="4">
        <v>10.661332815133941</v>
      </c>
      <c r="CH34" s="4">
        <v>11.062277325766088</v>
      </c>
      <c r="CI34" s="30">
        <v>13</v>
      </c>
      <c r="CJ34" s="30">
        <v>12.8</v>
      </c>
      <c r="CK34" s="30">
        <v>12.4</v>
      </c>
      <c r="CL34" s="30">
        <v>12</v>
      </c>
      <c r="CM34" s="30">
        <v>11.7</v>
      </c>
      <c r="CN34" s="30">
        <v>11.6</v>
      </c>
      <c r="CO34" s="30">
        <v>11.3</v>
      </c>
      <c r="CP34" s="30">
        <v>10.9</v>
      </c>
      <c r="CQ34" s="30">
        <v>11.3</v>
      </c>
      <c r="CR34" s="30">
        <v>11.1</v>
      </c>
      <c r="CS34" s="30">
        <v>11.1</v>
      </c>
      <c r="CT34" s="30">
        <v>11.7</v>
      </c>
      <c r="CU34" s="30">
        <v>11.5</v>
      </c>
      <c r="CV34" s="30">
        <v>10.5</v>
      </c>
      <c r="CW34" s="30"/>
      <c r="CX34" s="30"/>
      <c r="CY34" s="30"/>
      <c r="CZ34" s="30"/>
      <c r="DA34" s="30"/>
      <c r="DB34" s="30"/>
      <c r="DC34" s="30"/>
      <c r="DD34" s="30"/>
      <c r="DE34" s="30"/>
      <c r="DF34" s="30"/>
      <c r="DG34" s="30"/>
      <c r="DH34" s="30"/>
      <c r="DI34" s="30"/>
      <c r="DJ34" s="30"/>
      <c r="DK34" s="45">
        <v>0.16441717791411042</v>
      </c>
      <c r="DL34" s="45">
        <v>0.1324828263002944</v>
      </c>
      <c r="DM34" s="45">
        <v>0.12767454954954954</v>
      </c>
      <c r="DN34" s="38">
        <v>0.15256089943785137</v>
      </c>
      <c r="DO34" s="38">
        <v>0.1329208448901216</v>
      </c>
      <c r="DP34" s="45"/>
      <c r="DQ34" s="45"/>
      <c r="DR34" s="45"/>
      <c r="DS34" s="45"/>
    </row>
    <row r="35" spans="1:133" s="7" customFormat="1" ht="330">
      <c r="A35" s="7" t="s">
        <v>728</v>
      </c>
      <c r="B35" s="135" t="s">
        <v>728</v>
      </c>
      <c r="E35" s="7" t="s">
        <v>2549</v>
      </c>
      <c r="F35" s="7" t="s">
        <v>2549</v>
      </c>
      <c r="G35" s="7" t="s">
        <v>2549</v>
      </c>
      <c r="H35" s="7" t="s">
        <v>2549</v>
      </c>
      <c r="I35" s="7" t="s">
        <v>2549</v>
      </c>
      <c r="J35" s="7" t="s">
        <v>2549</v>
      </c>
      <c r="K35" s="7" t="s">
        <v>2549</v>
      </c>
      <c r="L35" s="7" t="s">
        <v>2549</v>
      </c>
      <c r="M35" s="7" t="s">
        <v>2549</v>
      </c>
      <c r="N35" s="7" t="s">
        <v>2549</v>
      </c>
      <c r="O35" s="7" t="s">
        <v>2549</v>
      </c>
      <c r="P35" s="7" t="s">
        <v>2549</v>
      </c>
      <c r="Q35" s="7" t="s">
        <v>2549</v>
      </c>
      <c r="R35" s="7" t="s">
        <v>2549</v>
      </c>
      <c r="S35" s="7" t="s">
        <v>2549</v>
      </c>
      <c r="T35" s="7" t="s">
        <v>2549</v>
      </c>
      <c r="U35" s="7" t="s">
        <v>2549</v>
      </c>
      <c r="V35" s="7" t="s">
        <v>2549</v>
      </c>
      <c r="W35" s="7" t="s">
        <v>2549</v>
      </c>
      <c r="X35" s="7" t="s">
        <v>2549</v>
      </c>
      <c r="Y35" s="7" t="s">
        <v>2549</v>
      </c>
      <c r="Z35" s="7" t="s">
        <v>2549</v>
      </c>
      <c r="AA35" s="7" t="s">
        <v>2549</v>
      </c>
      <c r="AB35" s="7" t="s">
        <v>2554</v>
      </c>
      <c r="AC35" s="7" t="s">
        <v>2554</v>
      </c>
      <c r="AD35" s="7" t="s">
        <v>2554</v>
      </c>
      <c r="AE35" s="7" t="s">
        <v>2554</v>
      </c>
      <c r="AF35" s="7" t="s">
        <v>2554</v>
      </c>
      <c r="AG35" s="7" t="s">
        <v>2554</v>
      </c>
      <c r="AH35" s="7" t="s">
        <v>2554</v>
      </c>
      <c r="AI35" s="7" t="s">
        <v>2554</v>
      </c>
      <c r="AJ35" s="7" t="s">
        <v>2554</v>
      </c>
      <c r="AK35" s="7" t="s">
        <v>2554</v>
      </c>
      <c r="AL35" s="7" t="s">
        <v>2554</v>
      </c>
      <c r="AM35" s="7" t="s">
        <v>2554</v>
      </c>
      <c r="AN35" s="7" t="s">
        <v>2554</v>
      </c>
      <c r="AO35" s="7" t="s">
        <v>2554</v>
      </c>
      <c r="AP35" s="7" t="s">
        <v>2554</v>
      </c>
      <c r="AQ35" s="7" t="s">
        <v>2554</v>
      </c>
      <c r="AR35" s="7" t="s">
        <v>2554</v>
      </c>
      <c r="AS35" s="7" t="s">
        <v>2553</v>
      </c>
      <c r="AT35" s="7" t="s">
        <v>2553</v>
      </c>
      <c r="AU35" s="7" t="s">
        <v>2553</v>
      </c>
      <c r="AV35" s="7" t="s">
        <v>2553</v>
      </c>
      <c r="AW35" s="1" t="s">
        <v>3003</v>
      </c>
      <c r="AX35" s="1" t="s">
        <v>3003</v>
      </c>
      <c r="AY35" s="7" t="s">
        <v>2252</v>
      </c>
      <c r="AZ35" s="7" t="s">
        <v>2252</v>
      </c>
      <c r="BA35" s="7" t="s">
        <v>2252</v>
      </c>
      <c r="BB35" s="7" t="s">
        <v>2252</v>
      </c>
      <c r="BC35" s="7" t="s">
        <v>2252</v>
      </c>
      <c r="BD35" s="7" t="s">
        <v>2252</v>
      </c>
      <c r="BE35" s="7" t="s">
        <v>2252</v>
      </c>
      <c r="BF35" s="7" t="s">
        <v>2252</v>
      </c>
      <c r="BG35" s="7" t="s">
        <v>2252</v>
      </c>
      <c r="BH35" s="7" t="s">
        <v>2252</v>
      </c>
      <c r="BI35" s="7" t="s">
        <v>2252</v>
      </c>
      <c r="BJ35" s="7" t="s">
        <v>2252</v>
      </c>
      <c r="BK35" s="7" t="s">
        <v>2252</v>
      </c>
      <c r="BL35" s="7" t="s">
        <v>2252</v>
      </c>
      <c r="BM35" s="7" t="s">
        <v>2252</v>
      </c>
      <c r="BN35" s="7" t="s">
        <v>2252</v>
      </c>
      <c r="BO35" s="7" t="s">
        <v>2252</v>
      </c>
      <c r="BP35" s="7" t="s">
        <v>2714</v>
      </c>
      <c r="BQ35" s="7" t="s">
        <v>2714</v>
      </c>
      <c r="BR35" s="7" t="s">
        <v>2714</v>
      </c>
      <c r="BS35" s="7" t="s">
        <v>2714</v>
      </c>
      <c r="BT35" s="7" t="s">
        <v>2714</v>
      </c>
      <c r="BU35" s="7" t="s">
        <v>2714</v>
      </c>
      <c r="BV35" s="7" t="s">
        <v>2714</v>
      </c>
      <c r="BW35" s="7" t="s">
        <v>2714</v>
      </c>
      <c r="BX35" s="7" t="s">
        <v>2714</v>
      </c>
      <c r="BY35" s="7" t="s">
        <v>2714</v>
      </c>
      <c r="BZ35" s="7" t="s">
        <v>2714</v>
      </c>
      <c r="CA35" s="7" t="s">
        <v>2714</v>
      </c>
      <c r="CB35" s="7" t="s">
        <v>2714</v>
      </c>
      <c r="CC35" s="7" t="s">
        <v>2714</v>
      </c>
      <c r="CD35" s="7" t="s">
        <v>2714</v>
      </c>
      <c r="CE35" s="7" t="s">
        <v>2714</v>
      </c>
      <c r="CF35" s="7" t="s">
        <v>2714</v>
      </c>
      <c r="CG35" s="7" t="s">
        <v>2714</v>
      </c>
      <c r="CH35" s="7" t="s">
        <v>2714</v>
      </c>
      <c r="CI35" s="7" t="s">
        <v>2664</v>
      </c>
      <c r="CJ35" s="7" t="s">
        <v>2664</v>
      </c>
      <c r="CK35" s="7" t="s">
        <v>2664</v>
      </c>
      <c r="CL35" s="7" t="s">
        <v>2664</v>
      </c>
      <c r="CM35" s="7" t="s">
        <v>2664</v>
      </c>
      <c r="CN35" s="7" t="s">
        <v>2664</v>
      </c>
      <c r="CO35" s="7" t="s">
        <v>2664</v>
      </c>
      <c r="CP35" s="7" t="s">
        <v>2664</v>
      </c>
      <c r="CQ35" s="7" t="s">
        <v>2664</v>
      </c>
      <c r="CR35" s="7" t="s">
        <v>2664</v>
      </c>
      <c r="CS35" s="7" t="s">
        <v>2664</v>
      </c>
      <c r="CT35" s="7" t="s">
        <v>2664</v>
      </c>
      <c r="CU35" s="7" t="s">
        <v>2664</v>
      </c>
      <c r="CV35" s="7" t="s">
        <v>2664</v>
      </c>
      <c r="CW35" s="7" t="s">
        <v>2665</v>
      </c>
      <c r="CX35" s="7" t="s">
        <v>2665</v>
      </c>
      <c r="CY35" s="7" t="s">
        <v>2665</v>
      </c>
      <c r="CZ35" s="7" t="s">
        <v>2665</v>
      </c>
      <c r="DA35" s="7" t="s">
        <v>2665</v>
      </c>
      <c r="DB35" s="7" t="s">
        <v>2665</v>
      </c>
      <c r="DC35" s="7" t="s">
        <v>2665</v>
      </c>
      <c r="DD35" s="7" t="s">
        <v>2665</v>
      </c>
      <c r="DE35" s="7" t="s">
        <v>2665</v>
      </c>
      <c r="DF35" s="7" t="s">
        <v>2665</v>
      </c>
      <c r="DG35" s="7" t="s">
        <v>2665</v>
      </c>
      <c r="DH35" s="7" t="s">
        <v>2665</v>
      </c>
      <c r="DI35" s="7" t="s">
        <v>2665</v>
      </c>
      <c r="DJ35" s="7" t="s">
        <v>2665</v>
      </c>
      <c r="DK35" s="7" t="s">
        <v>2231</v>
      </c>
      <c r="DL35" s="7" t="s">
        <v>2231</v>
      </c>
      <c r="DM35" s="7" t="s">
        <v>2231</v>
      </c>
      <c r="DN35" s="7" t="s">
        <v>2231</v>
      </c>
      <c r="DO35" s="7" t="s">
        <v>2231</v>
      </c>
      <c r="DP35" s="7" t="s">
        <v>1291</v>
      </c>
      <c r="DQ35" s="7" t="s">
        <v>1291</v>
      </c>
      <c r="DR35" s="7" t="s">
        <v>1291</v>
      </c>
      <c r="DS35" s="7" t="s">
        <v>1291</v>
      </c>
      <c r="DT35" s="7" t="s">
        <v>3490</v>
      </c>
      <c r="DU35" s="7" t="s">
        <v>3490</v>
      </c>
      <c r="DV35" s="7" t="s">
        <v>3490</v>
      </c>
      <c r="DW35" s="7" t="s">
        <v>3490</v>
      </c>
      <c r="DX35" s="7" t="s">
        <v>3490</v>
      </c>
      <c r="DY35" s="7" t="s">
        <v>3490</v>
      </c>
      <c r="DZ35" s="7" t="s">
        <v>3490</v>
      </c>
      <c r="EA35" s="7" t="s">
        <v>3490</v>
      </c>
      <c r="EB35" s="7" t="s">
        <v>3490</v>
      </c>
      <c r="EC35" s="7" t="s">
        <v>3490</v>
      </c>
    </row>
    <row r="36" spans="1:133" s="7" customFormat="1" ht="409">
      <c r="B36" s="135" t="s">
        <v>2212</v>
      </c>
      <c r="E36" s="183" t="s">
        <v>2545</v>
      </c>
      <c r="F36" s="183" t="s">
        <v>2545</v>
      </c>
      <c r="G36" s="183" t="s">
        <v>2545</v>
      </c>
      <c r="H36" s="183" t="s">
        <v>2545</v>
      </c>
      <c r="I36" s="183" t="s">
        <v>2545</v>
      </c>
      <c r="J36" s="183" t="s">
        <v>2545</v>
      </c>
      <c r="K36" s="183" t="s">
        <v>2545</v>
      </c>
      <c r="L36" s="183" t="s">
        <v>2545</v>
      </c>
      <c r="M36" s="183" t="s">
        <v>2545</v>
      </c>
      <c r="N36" s="183" t="s">
        <v>2545</v>
      </c>
      <c r="O36" s="183" t="s">
        <v>2545</v>
      </c>
      <c r="P36" s="183" t="s">
        <v>2545</v>
      </c>
      <c r="Q36" s="183" t="s">
        <v>2545</v>
      </c>
      <c r="R36" s="183" t="s">
        <v>2546</v>
      </c>
      <c r="S36" s="183" t="s">
        <v>2546</v>
      </c>
      <c r="T36" s="183" t="s">
        <v>2547</v>
      </c>
      <c r="U36" s="7" t="s">
        <v>2547</v>
      </c>
      <c r="V36" s="7" t="s">
        <v>2547</v>
      </c>
      <c r="W36" s="7" t="s">
        <v>2547</v>
      </c>
      <c r="X36" s="7" t="s">
        <v>2548</v>
      </c>
      <c r="Y36" s="7" t="s">
        <v>2548</v>
      </c>
      <c r="Z36" s="7" t="s">
        <v>2548</v>
      </c>
      <c r="AA36" s="7" t="s">
        <v>2548</v>
      </c>
      <c r="AB36" s="7" t="s">
        <v>2550</v>
      </c>
      <c r="AC36" s="7" t="s">
        <v>2550</v>
      </c>
      <c r="AD36" s="7" t="s">
        <v>2550</v>
      </c>
      <c r="AE36" s="7" t="s">
        <v>2550</v>
      </c>
      <c r="AF36" s="7" t="s">
        <v>2550</v>
      </c>
      <c r="AG36" s="7" t="s">
        <v>2550</v>
      </c>
      <c r="AH36" s="7" t="s">
        <v>2550</v>
      </c>
      <c r="AI36" s="7" t="s">
        <v>2550</v>
      </c>
      <c r="AJ36" s="7" t="s">
        <v>2550</v>
      </c>
      <c r="AK36" s="7" t="s">
        <v>2551</v>
      </c>
      <c r="AL36" s="7" t="s">
        <v>2555</v>
      </c>
      <c r="AM36" s="7" t="s">
        <v>2556</v>
      </c>
      <c r="AN36" s="7" t="s">
        <v>2557</v>
      </c>
      <c r="AO36" s="7" t="s">
        <v>2558</v>
      </c>
      <c r="AP36" s="7" t="s">
        <v>2559</v>
      </c>
      <c r="AQ36" s="7" t="s">
        <v>2560</v>
      </c>
      <c r="AR36" s="7" t="s">
        <v>2561</v>
      </c>
      <c r="AS36" s="7" t="s">
        <v>2552</v>
      </c>
      <c r="AT36" s="7" t="s">
        <v>2552</v>
      </c>
      <c r="AU36" s="7" t="s">
        <v>2552</v>
      </c>
      <c r="AV36" s="7" t="s">
        <v>3002</v>
      </c>
      <c r="AW36" s="7" t="s">
        <v>3004</v>
      </c>
      <c r="AX36" s="7" t="s">
        <v>3004</v>
      </c>
      <c r="AY36" s="7" t="s">
        <v>2253</v>
      </c>
      <c r="AZ36" s="7" t="s">
        <v>2253</v>
      </c>
      <c r="BA36" s="7" t="s">
        <v>2253</v>
      </c>
      <c r="BB36" s="7" t="s">
        <v>2253</v>
      </c>
      <c r="BC36" s="7" t="s">
        <v>2253</v>
      </c>
      <c r="BD36" s="7" t="s">
        <v>2253</v>
      </c>
      <c r="BE36" s="7" t="s">
        <v>2253</v>
      </c>
      <c r="BF36" s="7" t="s">
        <v>2253</v>
      </c>
      <c r="BG36" s="7" t="s">
        <v>2253</v>
      </c>
      <c r="BH36" s="7" t="s">
        <v>2253</v>
      </c>
      <c r="BI36" s="7" t="s">
        <v>2253</v>
      </c>
      <c r="BJ36" s="7" t="s">
        <v>2253</v>
      </c>
      <c r="BK36" s="7" t="s">
        <v>2253</v>
      </c>
      <c r="BL36" s="7" t="s">
        <v>2253</v>
      </c>
      <c r="BM36" s="7" t="s">
        <v>2253</v>
      </c>
      <c r="BN36" s="7" t="s">
        <v>2253</v>
      </c>
      <c r="BO36" s="7" t="s">
        <v>2253</v>
      </c>
      <c r="BP36" s="1" t="s">
        <v>2254</v>
      </c>
      <c r="BQ36" s="1" t="s">
        <v>2254</v>
      </c>
      <c r="BR36" s="1" t="s">
        <v>2254</v>
      </c>
      <c r="BS36" s="1" t="s">
        <v>2254</v>
      </c>
      <c r="BT36" s="1" t="s">
        <v>2254</v>
      </c>
      <c r="BU36" s="1" t="s">
        <v>2254</v>
      </c>
      <c r="BV36" s="1" t="s">
        <v>2254</v>
      </c>
      <c r="BW36" s="1" t="s">
        <v>2254</v>
      </c>
      <c r="BX36" s="1" t="s">
        <v>2254</v>
      </c>
      <c r="BY36" s="1" t="s">
        <v>2254</v>
      </c>
      <c r="BZ36" s="1" t="s">
        <v>2254</v>
      </c>
      <c r="CA36" s="1" t="s">
        <v>2254</v>
      </c>
      <c r="CB36" s="1" t="s">
        <v>2254</v>
      </c>
      <c r="CC36" s="1" t="s">
        <v>2254</v>
      </c>
      <c r="CD36" s="1" t="s">
        <v>2254</v>
      </c>
      <c r="CE36" s="1" t="s">
        <v>2254</v>
      </c>
      <c r="CF36" s="1" t="s">
        <v>2254</v>
      </c>
      <c r="CG36" s="1" t="s">
        <v>2254</v>
      </c>
      <c r="CH36" s="1" t="s">
        <v>2254</v>
      </c>
      <c r="CI36" s="1" t="s">
        <v>2255</v>
      </c>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t="s">
        <v>2226</v>
      </c>
      <c r="DL36" s="1" t="s">
        <v>2227</v>
      </c>
      <c r="DM36" s="1" t="s">
        <v>2228</v>
      </c>
      <c r="DN36" s="1" t="s">
        <v>2229</v>
      </c>
      <c r="DO36" s="1" t="s">
        <v>2230</v>
      </c>
      <c r="DP36" s="1"/>
      <c r="DQ36" s="1"/>
      <c r="DR36" s="1"/>
      <c r="DS36" s="1"/>
    </row>
  </sheetData>
  <hyperlinks>
    <hyperlink ref="A1" location="TableOfContents!A1" display="Back to Table of Contents"/>
  </hyperlinks>
  <pageMargins left="0.75" right="0.75" top="1" bottom="1" header="0.5" footer="0.5"/>
  <pageSetup orientation="portrait" horizontalDpi="4294967292" verticalDpi="4294967292"/>
  <ignoredErrors>
    <ignoredError sqref="AB6:AX6 E6:Y6" numberStoredAsText="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workbookViewId="0"/>
  </sheetViews>
  <sheetFormatPr baseColWidth="10" defaultRowHeight="13" x14ac:dyDescent="0"/>
  <cols>
    <col min="1" max="1" width="15.140625" style="3" customWidth="1"/>
    <col min="2" max="3" width="5.7109375" style="3" customWidth="1"/>
    <col min="4" max="4" width="10.7109375" style="3"/>
    <col min="5" max="54" width="10.7109375" style="6"/>
  </cols>
  <sheetData>
    <row r="1" spans="1:54">
      <c r="A1" s="137" t="s">
        <v>2404</v>
      </c>
    </row>
    <row r="2" spans="1:54">
      <c r="A2" s="1" t="s">
        <v>614</v>
      </c>
      <c r="B2" s="1"/>
      <c r="C2" s="1"/>
      <c r="D2" s="1"/>
      <c r="E2" s="1" t="s">
        <v>529</v>
      </c>
      <c r="F2" s="1" t="s">
        <v>529</v>
      </c>
      <c r="G2" s="1" t="s">
        <v>797</v>
      </c>
      <c r="H2" s="1" t="s">
        <v>797</v>
      </c>
      <c r="I2" s="1" t="s">
        <v>797</v>
      </c>
      <c r="J2" s="1" t="s">
        <v>797</v>
      </c>
      <c r="K2" s="1" t="s">
        <v>797</v>
      </c>
      <c r="L2" s="1" t="s">
        <v>797</v>
      </c>
      <c r="M2" s="1" t="s">
        <v>797</v>
      </c>
      <c r="N2" s="1" t="s">
        <v>797</v>
      </c>
      <c r="O2" s="1" t="s">
        <v>797</v>
      </c>
      <c r="P2" s="1" t="s">
        <v>797</v>
      </c>
      <c r="Q2" s="1" t="s">
        <v>797</v>
      </c>
      <c r="R2" s="1" t="s">
        <v>797</v>
      </c>
      <c r="S2" s="1" t="s">
        <v>797</v>
      </c>
      <c r="T2" s="1" t="s">
        <v>797</v>
      </c>
      <c r="U2" s="1" t="s">
        <v>797</v>
      </c>
      <c r="V2" s="1" t="s">
        <v>797</v>
      </c>
      <c r="W2" s="1" t="s">
        <v>797</v>
      </c>
      <c r="X2" s="1" t="s">
        <v>797</v>
      </c>
      <c r="Y2" s="1" t="s">
        <v>797</v>
      </c>
      <c r="Z2" s="1" t="s">
        <v>797</v>
      </c>
      <c r="AA2" s="1" t="s">
        <v>797</v>
      </c>
      <c r="AB2" s="1" t="s">
        <v>797</v>
      </c>
      <c r="AC2" s="1" t="s">
        <v>797</v>
      </c>
      <c r="AD2" s="1" t="s">
        <v>797</v>
      </c>
      <c r="AE2" s="1" t="s">
        <v>797</v>
      </c>
      <c r="AF2" s="1" t="s">
        <v>446</v>
      </c>
      <c r="AG2" s="1" t="s">
        <v>446</v>
      </c>
      <c r="AH2" s="1" t="s">
        <v>446</v>
      </c>
      <c r="AI2" s="1" t="s">
        <v>446</v>
      </c>
      <c r="AJ2" s="1" t="s">
        <v>446</v>
      </c>
      <c r="AK2" s="1" t="s">
        <v>446</v>
      </c>
      <c r="AL2" s="1" t="s">
        <v>446</v>
      </c>
      <c r="AM2" s="1" t="s">
        <v>446</v>
      </c>
      <c r="AN2" s="1" t="s">
        <v>446</v>
      </c>
      <c r="AO2" s="1" t="s">
        <v>446</v>
      </c>
      <c r="AP2" s="1" t="s">
        <v>446</v>
      </c>
      <c r="AQ2" s="1" t="s">
        <v>446</v>
      </c>
      <c r="AR2" s="1" t="s">
        <v>446</v>
      </c>
      <c r="AS2" s="1" t="s">
        <v>1218</v>
      </c>
      <c r="AT2" s="1" t="s">
        <v>1218</v>
      </c>
      <c r="AU2" s="1" t="s">
        <v>1218</v>
      </c>
      <c r="AV2" s="1" t="s">
        <v>1218</v>
      </c>
      <c r="AW2" s="1" t="s">
        <v>1218</v>
      </c>
      <c r="AX2" s="1" t="s">
        <v>797</v>
      </c>
      <c r="AY2" s="1" t="s">
        <v>797</v>
      </c>
      <c r="AZ2" s="1" t="s">
        <v>797</v>
      </c>
      <c r="BA2" s="1" t="s">
        <v>797</v>
      </c>
      <c r="BB2" s="1" t="s">
        <v>797</v>
      </c>
    </row>
    <row r="3" spans="1:54">
      <c r="A3" s="1" t="s">
        <v>518</v>
      </c>
      <c r="B3" s="1"/>
      <c r="C3" s="1"/>
      <c r="D3" s="1"/>
      <c r="E3" s="1" t="s">
        <v>447</v>
      </c>
      <c r="F3" s="1" t="s">
        <v>537</v>
      </c>
      <c r="G3" s="1" t="s">
        <v>2218</v>
      </c>
      <c r="H3" s="1" t="s">
        <v>2218</v>
      </c>
      <c r="I3" s="1" t="s">
        <v>2218</v>
      </c>
      <c r="J3" s="1" t="s">
        <v>2218</v>
      </c>
      <c r="K3" s="1" t="s">
        <v>2218</v>
      </c>
      <c r="L3" s="1" t="s">
        <v>2223</v>
      </c>
      <c r="M3" s="1" t="s">
        <v>2223</v>
      </c>
      <c r="N3" s="1" t="s">
        <v>2223</v>
      </c>
      <c r="O3" s="1" t="s">
        <v>2223</v>
      </c>
      <c r="P3" s="1" t="s">
        <v>2223</v>
      </c>
      <c r="Q3" s="1" t="s">
        <v>2221</v>
      </c>
      <c r="R3" s="1" t="s">
        <v>2221</v>
      </c>
      <c r="S3" s="1" t="s">
        <v>2221</v>
      </c>
      <c r="T3" s="1" t="s">
        <v>2221</v>
      </c>
      <c r="U3" s="1" t="s">
        <v>2221</v>
      </c>
      <c r="V3" s="1" t="s">
        <v>2220</v>
      </c>
      <c r="W3" s="1" t="s">
        <v>2220</v>
      </c>
      <c r="X3" s="1" t="s">
        <v>2220</v>
      </c>
      <c r="Y3" s="1" t="s">
        <v>2220</v>
      </c>
      <c r="Z3" s="1" t="s">
        <v>2220</v>
      </c>
      <c r="AA3" s="1" t="s">
        <v>2219</v>
      </c>
      <c r="AB3" s="1" t="s">
        <v>2219</v>
      </c>
      <c r="AC3" s="1" t="s">
        <v>2219</v>
      </c>
      <c r="AD3" s="1" t="s">
        <v>2219</v>
      </c>
      <c r="AE3" s="1" t="s">
        <v>2219</v>
      </c>
      <c r="AF3" s="133" t="s">
        <v>2217</v>
      </c>
      <c r="AG3" s="133" t="s">
        <v>2217</v>
      </c>
      <c r="AH3" s="133" t="s">
        <v>2217</v>
      </c>
      <c r="AI3" s="133" t="s">
        <v>2217</v>
      </c>
      <c r="AJ3" s="133" t="s">
        <v>2217</v>
      </c>
      <c r="AK3" s="133" t="s">
        <v>2217</v>
      </c>
      <c r="AL3" s="1" t="s">
        <v>2216</v>
      </c>
      <c r="AM3" s="1" t="s">
        <v>2216</v>
      </c>
      <c r="AN3" s="1" t="s">
        <v>2216</v>
      </c>
      <c r="AO3" s="1" t="s">
        <v>2216</v>
      </c>
      <c r="AP3" s="1" t="s">
        <v>2216</v>
      </c>
      <c r="AQ3" s="1" t="s">
        <v>2216</v>
      </c>
      <c r="AR3" s="1" t="s">
        <v>2216</v>
      </c>
      <c r="AS3" s="1" t="s">
        <v>2216</v>
      </c>
      <c r="AT3" s="1" t="s">
        <v>2216</v>
      </c>
      <c r="AU3" s="1" t="s">
        <v>2216</v>
      </c>
      <c r="AV3" s="1" t="s">
        <v>2216</v>
      </c>
      <c r="AW3" s="1" t="s">
        <v>2216</v>
      </c>
      <c r="AX3" s="1" t="s">
        <v>2222</v>
      </c>
      <c r="AY3" s="1" t="s">
        <v>2222</v>
      </c>
      <c r="AZ3" s="1" t="s">
        <v>2222</v>
      </c>
      <c r="BA3" s="1" t="s">
        <v>2222</v>
      </c>
      <c r="BB3" s="1" t="s">
        <v>2222</v>
      </c>
    </row>
    <row r="4" spans="1:54">
      <c r="A4" s="1" t="s">
        <v>736</v>
      </c>
      <c r="B4" s="1"/>
      <c r="C4" s="1"/>
      <c r="D4" s="1"/>
      <c r="E4" s="1"/>
      <c r="F4" s="1"/>
      <c r="G4" s="1" t="s">
        <v>447</v>
      </c>
      <c r="H4" s="1" t="s">
        <v>447</v>
      </c>
      <c r="I4" s="1" t="s">
        <v>447</v>
      </c>
      <c r="J4" s="1" t="s">
        <v>447</v>
      </c>
      <c r="K4" s="1" t="s">
        <v>447</v>
      </c>
      <c r="L4" s="1" t="s">
        <v>447</v>
      </c>
      <c r="M4" s="1" t="s">
        <v>447</v>
      </c>
      <c r="N4" s="1" t="s">
        <v>447</v>
      </c>
      <c r="O4" s="1" t="s">
        <v>447</v>
      </c>
      <c r="P4" s="1" t="s">
        <v>447</v>
      </c>
      <c r="Q4" s="1" t="s">
        <v>447</v>
      </c>
      <c r="R4" s="1" t="s">
        <v>447</v>
      </c>
      <c r="S4" s="1" t="s">
        <v>447</v>
      </c>
      <c r="T4" s="1" t="s">
        <v>447</v>
      </c>
      <c r="U4" s="1" t="s">
        <v>447</v>
      </c>
      <c r="V4" s="1" t="s">
        <v>447</v>
      </c>
      <c r="W4" s="1" t="s">
        <v>447</v>
      </c>
      <c r="X4" s="1" t="s">
        <v>447</v>
      </c>
      <c r="Y4" s="1" t="s">
        <v>447</v>
      </c>
      <c r="Z4" s="1" t="s">
        <v>447</v>
      </c>
      <c r="AA4" s="1" t="s">
        <v>447</v>
      </c>
      <c r="AB4" s="1" t="s">
        <v>447</v>
      </c>
      <c r="AC4" s="1" t="s">
        <v>447</v>
      </c>
      <c r="AD4" s="1" t="s">
        <v>447</v>
      </c>
      <c r="AE4" s="1" t="s">
        <v>447</v>
      </c>
      <c r="AF4" s="1" t="s">
        <v>537</v>
      </c>
      <c r="AG4" s="1" t="s">
        <v>537</v>
      </c>
      <c r="AH4" s="1" t="s">
        <v>537</v>
      </c>
      <c r="AI4" s="1" t="s">
        <v>537</v>
      </c>
      <c r="AJ4" s="1" t="s">
        <v>537</v>
      </c>
      <c r="AK4" s="1" t="s">
        <v>537</v>
      </c>
      <c r="AL4" s="1" t="s">
        <v>2215</v>
      </c>
      <c r="AM4" s="1" t="s">
        <v>2215</v>
      </c>
      <c r="AN4" s="1" t="s">
        <v>2215</v>
      </c>
      <c r="AO4" s="1" t="s">
        <v>2215</v>
      </c>
      <c r="AP4" s="1" t="s">
        <v>2215</v>
      </c>
      <c r="AQ4" s="1" t="s">
        <v>2215</v>
      </c>
      <c r="AR4" s="1" t="s">
        <v>2215</v>
      </c>
      <c r="AS4" s="1" t="s">
        <v>1082</v>
      </c>
      <c r="AT4" s="1" t="s">
        <v>447</v>
      </c>
      <c r="AU4" s="1" t="s">
        <v>447</v>
      </c>
      <c r="AV4" s="1" t="s">
        <v>447</v>
      </c>
      <c r="AW4" s="1" t="s">
        <v>447</v>
      </c>
      <c r="AX4" s="1" t="s">
        <v>447</v>
      </c>
      <c r="AY4" s="1" t="s">
        <v>447</v>
      </c>
      <c r="AZ4" s="1" t="s">
        <v>447</v>
      </c>
      <c r="BA4" s="1" t="s">
        <v>447</v>
      </c>
      <c r="BB4" s="1" t="s">
        <v>447</v>
      </c>
    </row>
    <row r="5" spans="1:54">
      <c r="A5" s="1" t="s">
        <v>737</v>
      </c>
      <c r="B5" s="1"/>
      <c r="C5" s="1"/>
      <c r="D5" s="1"/>
      <c r="E5" s="1" t="s">
        <v>536</v>
      </c>
      <c r="F5" s="1" t="s">
        <v>536</v>
      </c>
      <c r="G5" s="1" t="s">
        <v>649</v>
      </c>
      <c r="H5" s="1" t="s">
        <v>649</v>
      </c>
      <c r="I5" s="1" t="s">
        <v>649</v>
      </c>
      <c r="J5" s="1" t="s">
        <v>649</v>
      </c>
      <c r="K5" s="1" t="s">
        <v>649</v>
      </c>
      <c r="L5" s="1" t="s">
        <v>649</v>
      </c>
      <c r="M5" s="1" t="s">
        <v>649</v>
      </c>
      <c r="N5" s="1" t="s">
        <v>649</v>
      </c>
      <c r="O5" s="1" t="s">
        <v>649</v>
      </c>
      <c r="P5" s="1" t="s">
        <v>649</v>
      </c>
      <c r="Q5" s="1" t="s">
        <v>649</v>
      </c>
      <c r="R5" s="1" t="s">
        <v>649</v>
      </c>
      <c r="S5" s="1" t="s">
        <v>649</v>
      </c>
      <c r="T5" s="1" t="s">
        <v>649</v>
      </c>
      <c r="U5" s="1" t="s">
        <v>649</v>
      </c>
      <c r="V5" s="1" t="s">
        <v>649</v>
      </c>
      <c r="W5" s="1" t="s">
        <v>649</v>
      </c>
      <c r="X5" s="1" t="s">
        <v>649</v>
      </c>
      <c r="Y5" s="1" t="s">
        <v>649</v>
      </c>
      <c r="Z5" s="1" t="s">
        <v>649</v>
      </c>
      <c r="AA5" s="1" t="s">
        <v>649</v>
      </c>
      <c r="AB5" s="1" t="s">
        <v>649</v>
      </c>
      <c r="AC5" s="1" t="s">
        <v>649</v>
      </c>
      <c r="AD5" s="1" t="s">
        <v>649</v>
      </c>
      <c r="AE5" s="1" t="s">
        <v>649</v>
      </c>
      <c r="AF5" s="1" t="s">
        <v>649</v>
      </c>
      <c r="AG5" s="1" t="s">
        <v>649</v>
      </c>
      <c r="AH5" s="1" t="s">
        <v>649</v>
      </c>
      <c r="AI5" s="1" t="s">
        <v>649</v>
      </c>
      <c r="AJ5" s="1" t="s">
        <v>649</v>
      </c>
      <c r="AK5" s="1" t="s">
        <v>649</v>
      </c>
      <c r="AL5" s="1" t="s">
        <v>536</v>
      </c>
      <c r="AM5" s="1" t="s">
        <v>768</v>
      </c>
      <c r="AN5" s="1" t="s">
        <v>768</v>
      </c>
      <c r="AO5" s="1" t="s">
        <v>768</v>
      </c>
      <c r="AP5" s="1" t="s">
        <v>768</v>
      </c>
      <c r="AQ5" s="1" t="s">
        <v>768</v>
      </c>
      <c r="AR5" s="1" t="s">
        <v>768</v>
      </c>
      <c r="AS5" s="1" t="s">
        <v>1084</v>
      </c>
      <c r="AT5" s="1" t="s">
        <v>1084</v>
      </c>
      <c r="AU5" s="1" t="s">
        <v>1084</v>
      </c>
      <c r="AV5" s="1" t="s">
        <v>1084</v>
      </c>
      <c r="AW5" s="1" t="s">
        <v>1225</v>
      </c>
      <c r="AX5" s="1" t="s">
        <v>649</v>
      </c>
      <c r="AY5" s="1" t="s">
        <v>649</v>
      </c>
      <c r="AZ5" s="1" t="s">
        <v>649</v>
      </c>
      <c r="BA5" s="1" t="s">
        <v>649</v>
      </c>
      <c r="BB5" s="1" t="s">
        <v>649</v>
      </c>
    </row>
    <row r="6" spans="1:54">
      <c r="A6" s="42" t="s">
        <v>560</v>
      </c>
      <c r="B6" s="42"/>
      <c r="C6" s="42"/>
      <c r="D6" s="42"/>
      <c r="E6" s="42">
        <v>1998</v>
      </c>
      <c r="F6" s="42">
        <v>1998</v>
      </c>
      <c r="G6" s="42">
        <v>1959</v>
      </c>
      <c r="H6" s="42">
        <v>1970</v>
      </c>
      <c r="I6" s="42">
        <v>1980</v>
      </c>
      <c r="J6" s="42">
        <v>1991</v>
      </c>
      <c r="K6" s="42">
        <v>2000</v>
      </c>
      <c r="L6" s="42">
        <v>1959</v>
      </c>
      <c r="M6" s="42">
        <v>1970</v>
      </c>
      <c r="N6" s="42">
        <v>1980</v>
      </c>
      <c r="O6" s="42">
        <v>1991</v>
      </c>
      <c r="P6" s="42">
        <v>2000</v>
      </c>
      <c r="Q6" s="42">
        <v>1959</v>
      </c>
      <c r="R6" s="42">
        <v>1970</v>
      </c>
      <c r="S6" s="42">
        <v>1980</v>
      </c>
      <c r="T6" s="42">
        <v>1991</v>
      </c>
      <c r="U6" s="42">
        <v>2000</v>
      </c>
      <c r="V6" s="42">
        <v>1959</v>
      </c>
      <c r="W6" s="42">
        <v>1970</v>
      </c>
      <c r="X6" s="42">
        <v>1980</v>
      </c>
      <c r="Y6" s="42">
        <v>1991</v>
      </c>
      <c r="Z6" s="42">
        <v>2000</v>
      </c>
      <c r="AA6" s="42">
        <v>1959</v>
      </c>
      <c r="AB6" s="42">
        <v>1970</v>
      </c>
      <c r="AC6" s="42">
        <v>1980</v>
      </c>
      <c r="AD6" s="42">
        <v>1991</v>
      </c>
      <c r="AE6" s="42">
        <v>2000</v>
      </c>
      <c r="AF6" s="42">
        <v>1961</v>
      </c>
      <c r="AG6" s="42">
        <v>1970</v>
      </c>
      <c r="AH6" s="42">
        <v>1980</v>
      </c>
      <c r="AI6" s="42">
        <v>1990</v>
      </c>
      <c r="AJ6" s="42">
        <v>2000</v>
      </c>
      <c r="AK6" s="42">
        <v>2001</v>
      </c>
      <c r="AL6" s="42">
        <v>1998</v>
      </c>
      <c r="AM6" s="42">
        <v>1959</v>
      </c>
      <c r="AN6" s="42">
        <v>1970</v>
      </c>
      <c r="AO6" s="42">
        <v>1980</v>
      </c>
      <c r="AP6" s="42">
        <v>1990</v>
      </c>
      <c r="AQ6" s="42">
        <v>2000</v>
      </c>
      <c r="AR6" s="42">
        <v>2001</v>
      </c>
      <c r="AS6" s="42">
        <v>1959</v>
      </c>
      <c r="AT6" s="42">
        <v>1970</v>
      </c>
      <c r="AU6" s="42">
        <v>1980</v>
      </c>
      <c r="AV6" s="42">
        <v>1991</v>
      </c>
      <c r="AW6" s="42">
        <v>2000</v>
      </c>
      <c r="AX6" s="42">
        <v>1959</v>
      </c>
      <c r="AY6" s="42">
        <v>1970</v>
      </c>
      <c r="AZ6" s="42">
        <v>1980</v>
      </c>
      <c r="BA6" s="42">
        <v>1991</v>
      </c>
      <c r="BB6" s="42">
        <v>2000</v>
      </c>
    </row>
    <row r="7" spans="1:54" ht="77">
      <c r="A7" s="7" t="s">
        <v>3334</v>
      </c>
      <c r="B7" s="1"/>
      <c r="C7" s="1"/>
      <c r="D7" s="1"/>
      <c r="E7" s="1" t="s">
        <v>953</v>
      </c>
      <c r="F7" s="1" t="s">
        <v>954</v>
      </c>
      <c r="G7" s="1" t="s">
        <v>919</v>
      </c>
      <c r="H7" s="1" t="s">
        <v>936</v>
      </c>
      <c r="I7" s="1" t="s">
        <v>1211</v>
      </c>
      <c r="J7" s="1" t="s">
        <v>755</v>
      </c>
      <c r="K7" s="1" t="s">
        <v>1156</v>
      </c>
      <c r="L7" s="1" t="s">
        <v>976</v>
      </c>
      <c r="M7" s="1" t="s">
        <v>1018</v>
      </c>
      <c r="N7" s="1" t="s">
        <v>921</v>
      </c>
      <c r="O7" s="1" t="s">
        <v>985</v>
      </c>
      <c r="P7" s="1" t="s">
        <v>1155</v>
      </c>
      <c r="Q7" s="1" t="s">
        <v>957</v>
      </c>
      <c r="R7" s="1" t="s">
        <v>981</v>
      </c>
      <c r="S7" s="1" t="s">
        <v>1045</v>
      </c>
      <c r="T7" s="1" t="s">
        <v>1114</v>
      </c>
      <c r="U7" s="1" t="s">
        <v>1154</v>
      </c>
      <c r="V7" s="1" t="s">
        <v>956</v>
      </c>
      <c r="W7" s="1" t="s">
        <v>980</v>
      </c>
      <c r="X7" s="1" t="s">
        <v>748</v>
      </c>
      <c r="Y7" s="1" t="s">
        <v>988</v>
      </c>
      <c r="Z7" s="1" t="s">
        <v>1244</v>
      </c>
      <c r="AA7" s="1" t="s">
        <v>955</v>
      </c>
      <c r="AB7" s="1" t="s">
        <v>979</v>
      </c>
      <c r="AC7" s="1" t="s">
        <v>922</v>
      </c>
      <c r="AD7" s="1" t="s">
        <v>1047</v>
      </c>
      <c r="AE7" s="1" t="s">
        <v>1145</v>
      </c>
      <c r="AF7" s="1" t="s">
        <v>923</v>
      </c>
      <c r="AG7" s="1" t="s">
        <v>1153</v>
      </c>
      <c r="AH7" s="1" t="s">
        <v>863</v>
      </c>
      <c r="AI7" s="1" t="s">
        <v>1011</v>
      </c>
      <c r="AJ7" s="1" t="s">
        <v>864</v>
      </c>
      <c r="AK7" s="1" t="s">
        <v>948</v>
      </c>
      <c r="AL7" s="1" t="s">
        <v>767</v>
      </c>
      <c r="AM7" s="1" t="s">
        <v>879</v>
      </c>
      <c r="AN7" s="1" t="s">
        <v>972</v>
      </c>
      <c r="AO7" s="1" t="s">
        <v>800</v>
      </c>
      <c r="AP7" s="1" t="s">
        <v>1007</v>
      </c>
      <c r="AQ7" s="1" t="s">
        <v>984</v>
      </c>
      <c r="AR7" s="1" t="s">
        <v>836</v>
      </c>
      <c r="AS7" s="1" t="s">
        <v>1178</v>
      </c>
      <c r="AT7" s="1" t="s">
        <v>1181</v>
      </c>
      <c r="AU7" s="1" t="s">
        <v>1055</v>
      </c>
      <c r="AV7" s="1" t="s">
        <v>1374</v>
      </c>
      <c r="AW7" s="1" t="s">
        <v>1377</v>
      </c>
      <c r="AX7" s="1" t="s">
        <v>960</v>
      </c>
      <c r="AY7" s="1" t="s">
        <v>882</v>
      </c>
      <c r="AZ7" s="1" t="s">
        <v>1046</v>
      </c>
      <c r="BA7" s="1" t="s">
        <v>940</v>
      </c>
      <c r="BB7" s="1" t="s">
        <v>1146</v>
      </c>
    </row>
    <row r="8" spans="1:54">
      <c r="A8" s="9" t="s">
        <v>572</v>
      </c>
      <c r="B8" s="9" t="s">
        <v>770</v>
      </c>
      <c r="C8" s="9" t="s">
        <v>771</v>
      </c>
      <c r="D8" s="9" t="s">
        <v>772</v>
      </c>
      <c r="E8" s="9" t="s">
        <v>638</v>
      </c>
      <c r="F8" s="9" t="s">
        <v>639</v>
      </c>
      <c r="G8" s="9" t="s">
        <v>964</v>
      </c>
      <c r="H8" s="9" t="s">
        <v>937</v>
      </c>
      <c r="I8" s="9" t="s">
        <v>868</v>
      </c>
      <c r="J8" s="9" t="s">
        <v>873</v>
      </c>
      <c r="K8" s="9" t="s">
        <v>878</v>
      </c>
      <c r="L8" s="9" t="s">
        <v>920</v>
      </c>
      <c r="M8" s="9" t="s">
        <v>975</v>
      </c>
      <c r="N8" s="9" t="s">
        <v>1012</v>
      </c>
      <c r="O8" s="9" t="s">
        <v>1013</v>
      </c>
      <c r="P8" s="9" t="s">
        <v>1014</v>
      </c>
      <c r="Q8" s="9" t="s">
        <v>1113</v>
      </c>
      <c r="R8" s="9" t="s">
        <v>973</v>
      </c>
      <c r="S8" s="9" t="s">
        <v>866</v>
      </c>
      <c r="T8" s="9" t="s">
        <v>871</v>
      </c>
      <c r="U8" s="9" t="s">
        <v>876</v>
      </c>
      <c r="V8" s="9" t="s">
        <v>966</v>
      </c>
      <c r="W8" s="9" t="s">
        <v>899</v>
      </c>
      <c r="X8" s="9" t="s">
        <v>865</v>
      </c>
      <c r="Y8" s="9" t="s">
        <v>870</v>
      </c>
      <c r="Z8" s="9" t="s">
        <v>875</v>
      </c>
      <c r="AA8" s="9" t="s">
        <v>883</v>
      </c>
      <c r="AB8" s="9" t="s">
        <v>898</v>
      </c>
      <c r="AC8" s="9" t="s">
        <v>1015</v>
      </c>
      <c r="AD8" s="9" t="s">
        <v>869</v>
      </c>
      <c r="AE8" s="9" t="s">
        <v>874</v>
      </c>
      <c r="AF8" s="9" t="s">
        <v>932</v>
      </c>
      <c r="AG8" s="9" t="s">
        <v>986</v>
      </c>
      <c r="AH8" s="9" t="s">
        <v>826</v>
      </c>
      <c r="AI8" s="9" t="s">
        <v>827</v>
      </c>
      <c r="AJ8" s="9" t="s">
        <v>828</v>
      </c>
      <c r="AK8" s="9" t="s">
        <v>896</v>
      </c>
      <c r="AL8" s="9" t="s">
        <v>931</v>
      </c>
      <c r="AM8" s="9" t="s">
        <v>903</v>
      </c>
      <c r="AN8" s="9" t="s">
        <v>904</v>
      </c>
      <c r="AO8" s="9" t="s">
        <v>837</v>
      </c>
      <c r="AP8" s="9" t="s">
        <v>905</v>
      </c>
      <c r="AQ8" s="9" t="s">
        <v>906</v>
      </c>
      <c r="AR8" s="9" t="s">
        <v>971</v>
      </c>
      <c r="AS8" s="9" t="s">
        <v>1323</v>
      </c>
      <c r="AT8" s="9" t="s">
        <v>1269</v>
      </c>
      <c r="AU8" s="9" t="s">
        <v>1285</v>
      </c>
      <c r="AV8" s="9" t="s">
        <v>1376</v>
      </c>
      <c r="AW8" s="9" t="s">
        <v>1095</v>
      </c>
      <c r="AX8" s="9" t="s">
        <v>884</v>
      </c>
      <c r="AY8" s="9" t="s">
        <v>974</v>
      </c>
      <c r="AZ8" s="9" t="s">
        <v>867</v>
      </c>
      <c r="BA8" s="9" t="s">
        <v>872</v>
      </c>
      <c r="BB8" s="9" t="s">
        <v>877</v>
      </c>
    </row>
    <row r="9" spans="1:54">
      <c r="A9" s="3" t="s">
        <v>850</v>
      </c>
      <c r="B9" s="3" t="s">
        <v>851</v>
      </c>
      <c r="C9" s="3">
        <v>1</v>
      </c>
      <c r="D9" s="3" t="s">
        <v>759</v>
      </c>
      <c r="E9" s="11">
        <v>834</v>
      </c>
      <c r="F9" s="72">
        <v>12.6</v>
      </c>
      <c r="G9" s="16">
        <v>36.700000000000003</v>
      </c>
      <c r="H9" s="16">
        <v>51.5</v>
      </c>
      <c r="I9" s="16">
        <v>103.2</v>
      </c>
      <c r="J9" s="16">
        <v>118.9</v>
      </c>
      <c r="K9" s="16">
        <v>186.2</v>
      </c>
      <c r="L9" s="16">
        <v>43.5</v>
      </c>
      <c r="M9" s="16">
        <v>84.7</v>
      </c>
      <c r="N9" s="16">
        <v>115.4</v>
      </c>
      <c r="O9" s="16">
        <v>17.5</v>
      </c>
      <c r="P9" s="16">
        <v>40.200000000000003</v>
      </c>
      <c r="Q9" s="16">
        <v>36.299999999999997</v>
      </c>
      <c r="R9" s="16">
        <v>90.2</v>
      </c>
      <c r="S9" s="16">
        <v>133.69999999999999</v>
      </c>
      <c r="T9" s="16">
        <v>120.4</v>
      </c>
      <c r="U9" s="16">
        <v>282.8</v>
      </c>
      <c r="V9" s="16">
        <v>22.8</v>
      </c>
      <c r="W9" s="16">
        <v>38.299999999999997</v>
      </c>
      <c r="X9" s="16">
        <v>74.3</v>
      </c>
      <c r="Y9" s="16">
        <v>60.7</v>
      </c>
      <c r="Z9" s="16">
        <v>82.5</v>
      </c>
      <c r="AA9" s="16">
        <v>16.5</v>
      </c>
      <c r="AB9" s="16">
        <v>42.8</v>
      </c>
      <c r="AC9" s="16">
        <v>69.900000000000006</v>
      </c>
      <c r="AD9" s="16">
        <v>56.6</v>
      </c>
      <c r="AE9" s="16">
        <v>90.8</v>
      </c>
      <c r="AF9" s="16">
        <v>3.86</v>
      </c>
      <c r="AG9" s="16">
        <v>4.32</v>
      </c>
      <c r="AH9" s="16">
        <v>7.66</v>
      </c>
      <c r="AI9" s="16">
        <v>7.49</v>
      </c>
      <c r="AJ9" s="16">
        <v>11.57</v>
      </c>
      <c r="AK9" s="16">
        <v>12.29</v>
      </c>
      <c r="AL9" s="11">
        <v>799</v>
      </c>
      <c r="AM9" s="16">
        <v>168</v>
      </c>
      <c r="AN9" s="16">
        <v>330</v>
      </c>
      <c r="AO9" s="16">
        <v>550</v>
      </c>
      <c r="AP9" s="16">
        <v>411</v>
      </c>
      <c r="AQ9" s="16">
        <v>791</v>
      </c>
      <c r="AR9" s="16">
        <v>795</v>
      </c>
      <c r="AS9" s="30">
        <v>164.8</v>
      </c>
      <c r="AT9" s="30">
        <v>327.3</v>
      </c>
      <c r="AU9" s="30">
        <v>542.30000000000007</v>
      </c>
      <c r="AV9" s="30">
        <v>423.3</v>
      </c>
      <c r="AW9" s="30">
        <v>763.8</v>
      </c>
      <c r="AX9" s="16">
        <v>9</v>
      </c>
      <c r="AY9" s="16">
        <v>19.8</v>
      </c>
      <c r="AZ9" s="16">
        <v>45.8</v>
      </c>
      <c r="BA9" s="16">
        <v>49.2</v>
      </c>
      <c r="BB9" s="16">
        <v>81.3</v>
      </c>
    </row>
    <row r="10" spans="1:54">
      <c r="A10" s="3" t="s">
        <v>667</v>
      </c>
      <c r="B10" s="3" t="s">
        <v>668</v>
      </c>
      <c r="C10" s="3">
        <v>2</v>
      </c>
      <c r="D10" s="3" t="s">
        <v>759</v>
      </c>
      <c r="E10" s="11">
        <v>2540</v>
      </c>
      <c r="F10" s="72">
        <v>11</v>
      </c>
      <c r="G10" s="16">
        <v>24.3</v>
      </c>
      <c r="H10" s="16">
        <v>65.7</v>
      </c>
      <c r="I10" s="16">
        <v>163.9</v>
      </c>
      <c r="J10" s="16">
        <v>110.7</v>
      </c>
      <c r="K10" s="16">
        <v>178.2</v>
      </c>
      <c r="L10" s="16">
        <v>34.299999999999997</v>
      </c>
      <c r="M10" s="16">
        <v>84.3</v>
      </c>
      <c r="N10" s="16">
        <v>281.5</v>
      </c>
      <c r="O10" s="16">
        <v>74.400000000000006</v>
      </c>
      <c r="P10" s="16">
        <v>51.2</v>
      </c>
      <c r="Q10" s="16">
        <v>7.3</v>
      </c>
      <c r="R10" s="16">
        <v>24.7</v>
      </c>
      <c r="S10" s="16">
        <v>181.5</v>
      </c>
      <c r="T10" s="16">
        <v>198.9</v>
      </c>
      <c r="U10" s="16">
        <v>353.2</v>
      </c>
      <c r="V10" s="16">
        <v>60.3</v>
      </c>
      <c r="W10" s="16">
        <v>121.3</v>
      </c>
      <c r="X10" s="16">
        <v>142.9</v>
      </c>
      <c r="Y10" s="16">
        <v>243.5</v>
      </c>
      <c r="Z10" s="16">
        <v>405.2</v>
      </c>
      <c r="AA10" s="17"/>
      <c r="AB10" s="17"/>
      <c r="AC10" s="17"/>
      <c r="AD10" s="17"/>
      <c r="AE10" s="17"/>
      <c r="AF10" s="17"/>
      <c r="AG10" s="17"/>
      <c r="AH10" s="17"/>
      <c r="AI10" s="17"/>
      <c r="AJ10" s="17"/>
      <c r="AK10" s="17"/>
      <c r="AL10" s="11">
        <v>1037</v>
      </c>
      <c r="AM10" s="17"/>
      <c r="AN10" s="17"/>
      <c r="AO10" s="17"/>
      <c r="AP10" s="17"/>
      <c r="AQ10" s="17"/>
      <c r="AR10" s="17"/>
      <c r="AS10" s="30">
        <v>150.80000000000001</v>
      </c>
      <c r="AT10" s="30">
        <v>419.90000000000003</v>
      </c>
      <c r="AU10" s="30">
        <v>812</v>
      </c>
      <c r="AV10" s="30">
        <v>707.6</v>
      </c>
      <c r="AW10" s="30">
        <v>1067.1999999999998</v>
      </c>
      <c r="AX10" s="16">
        <v>24.6</v>
      </c>
      <c r="AY10" s="16">
        <v>123.9</v>
      </c>
      <c r="AZ10" s="16">
        <v>42.2</v>
      </c>
      <c r="BA10" s="16">
        <v>80.099999999999994</v>
      </c>
      <c r="BB10" s="16">
        <v>79.400000000000006</v>
      </c>
    </row>
    <row r="11" spans="1:54">
      <c r="A11" s="3" t="s">
        <v>669</v>
      </c>
      <c r="B11" s="3" t="s">
        <v>663</v>
      </c>
      <c r="C11" s="3">
        <v>3</v>
      </c>
      <c r="D11" s="3" t="s">
        <v>664</v>
      </c>
      <c r="E11" s="11">
        <v>710</v>
      </c>
      <c r="F11" s="72">
        <v>14.7</v>
      </c>
      <c r="G11" s="16">
        <v>61.3</v>
      </c>
      <c r="H11" s="16">
        <v>119.5</v>
      </c>
      <c r="I11" s="16">
        <v>173</v>
      </c>
      <c r="J11" s="16">
        <v>287.60000000000002</v>
      </c>
      <c r="K11" s="16">
        <v>455.2</v>
      </c>
      <c r="L11" s="16">
        <v>61.3</v>
      </c>
      <c r="M11" s="16">
        <v>256.39999999999998</v>
      </c>
      <c r="N11" s="16">
        <v>383</v>
      </c>
      <c r="O11" s="16">
        <v>144.19999999999999</v>
      </c>
      <c r="P11" s="16">
        <v>141.69999999999999</v>
      </c>
      <c r="Q11" s="16">
        <v>12.3</v>
      </c>
      <c r="R11" s="16">
        <v>56.1</v>
      </c>
      <c r="S11" s="16">
        <v>259.5</v>
      </c>
      <c r="T11" s="16">
        <v>220</v>
      </c>
      <c r="U11" s="16">
        <v>428.7</v>
      </c>
      <c r="V11" s="16">
        <v>18.399999999999999</v>
      </c>
      <c r="W11" s="16">
        <v>60.2</v>
      </c>
      <c r="X11" s="16">
        <v>148.30000000000001</v>
      </c>
      <c r="Y11" s="16">
        <v>167.8</v>
      </c>
      <c r="Z11" s="16">
        <v>163.69999999999999</v>
      </c>
      <c r="AA11" s="16">
        <v>42.9</v>
      </c>
      <c r="AB11" s="16">
        <v>75</v>
      </c>
      <c r="AC11" s="16">
        <v>111.2</v>
      </c>
      <c r="AD11" s="16">
        <v>96.2</v>
      </c>
      <c r="AE11" s="16">
        <v>102.3</v>
      </c>
      <c r="AF11" s="16">
        <v>20.21</v>
      </c>
      <c r="AG11" s="16">
        <v>20.87</v>
      </c>
      <c r="AH11" s="16">
        <v>27.96</v>
      </c>
      <c r="AI11" s="16">
        <v>30.53</v>
      </c>
      <c r="AJ11" s="16">
        <v>19.760000000000002</v>
      </c>
      <c r="AK11" s="16">
        <v>21.94</v>
      </c>
      <c r="AL11" s="11">
        <v>1657</v>
      </c>
      <c r="AM11" s="16">
        <v>196</v>
      </c>
      <c r="AN11" s="16">
        <v>595</v>
      </c>
      <c r="AO11" s="16">
        <v>1290</v>
      </c>
      <c r="AP11" s="16">
        <v>1517</v>
      </c>
      <c r="AQ11" s="16">
        <v>1588</v>
      </c>
      <c r="AR11" s="16">
        <v>1660</v>
      </c>
      <c r="AS11" s="30">
        <v>196.2</v>
      </c>
      <c r="AT11" s="30">
        <v>596.9</v>
      </c>
      <c r="AU11" s="30">
        <v>1235.5999999999999</v>
      </c>
      <c r="AV11" s="30">
        <v>1272.8</v>
      </c>
      <c r="AW11" s="30">
        <v>1440.0000000000002</v>
      </c>
      <c r="AX11" s="17"/>
      <c r="AY11" s="16">
        <v>29.7</v>
      </c>
      <c r="AZ11" s="16">
        <v>160.6</v>
      </c>
      <c r="BA11" s="16">
        <v>357</v>
      </c>
      <c r="BB11" s="16">
        <v>148.4</v>
      </c>
    </row>
    <row r="12" spans="1:54">
      <c r="A12" s="3" t="s">
        <v>665</v>
      </c>
      <c r="B12" s="3" t="s">
        <v>640</v>
      </c>
      <c r="C12" s="3">
        <v>4</v>
      </c>
      <c r="D12" s="3" t="s">
        <v>641</v>
      </c>
      <c r="E12" s="11">
        <v>569</v>
      </c>
      <c r="F12" s="72">
        <v>14.8</v>
      </c>
      <c r="G12" s="16">
        <v>26.6</v>
      </c>
      <c r="H12" s="16">
        <v>81</v>
      </c>
      <c r="I12" s="16">
        <v>133.5</v>
      </c>
      <c r="J12" s="16">
        <v>227.9</v>
      </c>
      <c r="K12" s="16">
        <v>348.7</v>
      </c>
      <c r="L12" s="16">
        <v>30.4</v>
      </c>
      <c r="M12" s="16">
        <v>112.1</v>
      </c>
      <c r="N12" s="16">
        <v>155.1</v>
      </c>
      <c r="O12" s="16">
        <v>92.7</v>
      </c>
      <c r="P12" s="16">
        <v>100.7</v>
      </c>
      <c r="Q12" s="16">
        <v>15.2</v>
      </c>
      <c r="R12" s="16">
        <v>48.1</v>
      </c>
      <c r="S12" s="16">
        <v>184.8</v>
      </c>
      <c r="T12" s="16">
        <v>202.4</v>
      </c>
      <c r="U12" s="16">
        <v>299.39999999999998</v>
      </c>
      <c r="V12" s="16">
        <v>20.9</v>
      </c>
      <c r="W12" s="16">
        <v>44.6</v>
      </c>
      <c r="X12" s="16">
        <v>102</v>
      </c>
      <c r="Y12" s="16">
        <v>73.5</v>
      </c>
      <c r="Z12" s="16">
        <v>106.6</v>
      </c>
      <c r="AA12" s="16">
        <v>13.3</v>
      </c>
      <c r="AB12" s="16">
        <v>39.9</v>
      </c>
      <c r="AC12" s="16">
        <v>52.9</v>
      </c>
      <c r="AD12" s="16">
        <v>54.2</v>
      </c>
      <c r="AE12" s="16">
        <v>79.400000000000006</v>
      </c>
      <c r="AF12" s="16">
        <v>6.76</v>
      </c>
      <c r="AG12" s="16">
        <v>11.41</v>
      </c>
      <c r="AH12" s="16">
        <v>24.55</v>
      </c>
      <c r="AI12" s="16">
        <v>22.24</v>
      </c>
      <c r="AJ12" s="16">
        <v>36.01</v>
      </c>
      <c r="AK12" s="16">
        <v>39.92</v>
      </c>
      <c r="AL12" s="11">
        <v>1300</v>
      </c>
      <c r="AM12" s="16">
        <v>116</v>
      </c>
      <c r="AN12" s="16">
        <v>355</v>
      </c>
      <c r="AO12" s="16">
        <v>953</v>
      </c>
      <c r="AP12" s="16">
        <v>709</v>
      </c>
      <c r="AQ12" s="16">
        <v>1116</v>
      </c>
      <c r="AR12" s="16">
        <v>1125</v>
      </c>
      <c r="AS12" s="30">
        <v>115.9</v>
      </c>
      <c r="AT12" s="30">
        <v>353.5</v>
      </c>
      <c r="AU12" s="30">
        <v>875.9</v>
      </c>
      <c r="AV12" s="30">
        <v>783.2</v>
      </c>
      <c r="AW12" s="30">
        <v>1002.2</v>
      </c>
      <c r="AX12" s="16">
        <v>9.5</v>
      </c>
      <c r="AY12" s="16">
        <v>27.8</v>
      </c>
      <c r="AZ12" s="16">
        <v>247.6</v>
      </c>
      <c r="BA12" s="16">
        <v>132.5</v>
      </c>
      <c r="BB12" s="16">
        <v>67.400000000000006</v>
      </c>
    </row>
    <row r="13" spans="1:54">
      <c r="A13" s="3" t="s">
        <v>539</v>
      </c>
      <c r="B13" s="3" t="s">
        <v>540</v>
      </c>
      <c r="C13" s="3">
        <v>5</v>
      </c>
      <c r="D13" s="3" t="s">
        <v>541</v>
      </c>
      <c r="E13" s="11">
        <v>1318</v>
      </c>
      <c r="F13" s="72">
        <v>14.7</v>
      </c>
      <c r="G13" s="16">
        <v>29.7</v>
      </c>
      <c r="H13" s="16">
        <v>190</v>
      </c>
      <c r="I13" s="16">
        <v>186.8</v>
      </c>
      <c r="J13" s="16">
        <v>283.89999999999998</v>
      </c>
      <c r="K13" s="16">
        <v>310.60000000000002</v>
      </c>
      <c r="L13" s="16">
        <v>52</v>
      </c>
      <c r="M13" s="16">
        <v>323.89999999999998</v>
      </c>
      <c r="N13" s="16">
        <v>318.60000000000002</v>
      </c>
      <c r="O13" s="16">
        <v>120.9</v>
      </c>
      <c r="P13" s="16">
        <v>198.4</v>
      </c>
      <c r="Q13" s="16">
        <v>14.9</v>
      </c>
      <c r="R13" s="16">
        <v>80.8</v>
      </c>
      <c r="S13" s="16">
        <v>213.4</v>
      </c>
      <c r="T13" s="16">
        <v>217</v>
      </c>
      <c r="U13" s="16">
        <v>385.9</v>
      </c>
      <c r="V13" s="16">
        <v>7.4</v>
      </c>
      <c r="W13" s="16">
        <v>82.3</v>
      </c>
      <c r="X13" s="16">
        <v>120.1</v>
      </c>
      <c r="Y13" s="16">
        <v>144.6</v>
      </c>
      <c r="Z13" s="16">
        <v>176.7</v>
      </c>
      <c r="AA13" s="16">
        <v>37.200000000000003</v>
      </c>
      <c r="AB13" s="16">
        <v>95.7</v>
      </c>
      <c r="AC13" s="16">
        <v>80</v>
      </c>
      <c r="AD13" s="16">
        <v>110.5</v>
      </c>
      <c r="AE13" s="16">
        <v>134.9</v>
      </c>
      <c r="AF13" s="16">
        <v>6.03</v>
      </c>
      <c r="AG13" s="16">
        <v>8.25</v>
      </c>
      <c r="AH13" s="16">
        <v>8.9499999999999993</v>
      </c>
      <c r="AI13" s="16">
        <v>7.87</v>
      </c>
      <c r="AJ13" s="16">
        <v>9.4499999999999993</v>
      </c>
      <c r="AK13" s="16">
        <v>9.7100000000000009</v>
      </c>
      <c r="AL13" s="11">
        <v>1788</v>
      </c>
      <c r="AM13" s="16">
        <v>156</v>
      </c>
      <c r="AN13" s="16">
        <v>865</v>
      </c>
      <c r="AO13" s="16">
        <v>1403</v>
      </c>
      <c r="AP13" s="16">
        <v>904</v>
      </c>
      <c r="AQ13" s="16">
        <v>1438</v>
      </c>
      <c r="AR13" s="16">
        <v>1419</v>
      </c>
      <c r="AS13" s="30">
        <v>156.10000000000002</v>
      </c>
      <c r="AT13" s="30">
        <v>817.59999999999991</v>
      </c>
      <c r="AU13" s="30">
        <v>1305.6999999999998</v>
      </c>
      <c r="AV13" s="30">
        <v>1084</v>
      </c>
      <c r="AW13" s="30">
        <v>1319.7</v>
      </c>
      <c r="AX13" s="16">
        <v>14.9</v>
      </c>
      <c r="AY13" s="16">
        <v>44.9</v>
      </c>
      <c r="AZ13" s="16">
        <v>386.8</v>
      </c>
      <c r="BA13" s="16">
        <v>207.1</v>
      </c>
      <c r="BB13" s="16">
        <v>113.2</v>
      </c>
    </row>
    <row r="14" spans="1:54">
      <c r="A14" s="3" t="s">
        <v>542</v>
      </c>
      <c r="B14" s="3" t="s">
        <v>543</v>
      </c>
      <c r="C14" s="3">
        <v>6</v>
      </c>
      <c r="D14" s="3" t="s">
        <v>759</v>
      </c>
      <c r="E14" s="11">
        <v>965</v>
      </c>
      <c r="F14" s="72">
        <v>13</v>
      </c>
      <c r="G14" s="16">
        <v>25</v>
      </c>
      <c r="H14" s="16">
        <v>54.1</v>
      </c>
      <c r="I14" s="16">
        <v>134.1</v>
      </c>
      <c r="J14" s="16">
        <v>177.7</v>
      </c>
      <c r="K14" s="16">
        <v>251.8</v>
      </c>
      <c r="L14" s="16">
        <v>51.8</v>
      </c>
      <c r="M14" s="16">
        <v>130.9</v>
      </c>
      <c r="N14" s="16">
        <v>93.3</v>
      </c>
      <c r="O14" s="16">
        <v>36.1</v>
      </c>
      <c r="P14" s="16">
        <v>33.799999999999997</v>
      </c>
      <c r="Q14" s="16">
        <v>22.6</v>
      </c>
      <c r="R14" s="16">
        <v>88.5</v>
      </c>
      <c r="S14" s="16">
        <v>145.80000000000001</v>
      </c>
      <c r="T14" s="16">
        <v>148.69999999999999</v>
      </c>
      <c r="U14" s="16">
        <v>272.39999999999998</v>
      </c>
      <c r="V14" s="16">
        <v>15.5</v>
      </c>
      <c r="W14" s="16">
        <v>43.7</v>
      </c>
      <c r="X14" s="16">
        <v>110.8</v>
      </c>
      <c r="Y14" s="16">
        <v>74.099999999999994</v>
      </c>
      <c r="Z14" s="16">
        <v>69.2</v>
      </c>
      <c r="AA14" s="16">
        <v>23.8</v>
      </c>
      <c r="AB14" s="16">
        <v>52</v>
      </c>
      <c r="AC14" s="16">
        <v>75.8</v>
      </c>
      <c r="AD14" s="16">
        <v>71.2</v>
      </c>
      <c r="AE14" s="16">
        <v>82.3</v>
      </c>
      <c r="AF14" s="16">
        <v>5.34</v>
      </c>
      <c r="AG14" s="16">
        <v>7.06</v>
      </c>
      <c r="AH14" s="16">
        <v>10.63</v>
      </c>
      <c r="AI14" s="16">
        <v>12.31</v>
      </c>
      <c r="AJ14" s="16">
        <v>11.55</v>
      </c>
      <c r="AK14" s="16">
        <v>14.63</v>
      </c>
      <c r="AL14" s="11">
        <v>971</v>
      </c>
      <c r="AM14" s="16">
        <v>170</v>
      </c>
      <c r="AN14" s="16">
        <v>393</v>
      </c>
      <c r="AO14" s="16">
        <v>727</v>
      </c>
      <c r="AP14" s="16">
        <v>644</v>
      </c>
      <c r="AQ14" s="16">
        <v>814</v>
      </c>
      <c r="AR14" s="16">
        <v>950</v>
      </c>
      <c r="AS14" s="30">
        <v>170.3</v>
      </c>
      <c r="AT14" s="30">
        <v>389</v>
      </c>
      <c r="AU14" s="30">
        <v>583.1</v>
      </c>
      <c r="AV14" s="30">
        <v>574.5</v>
      </c>
      <c r="AW14" s="30">
        <v>783.3</v>
      </c>
      <c r="AX14" s="16">
        <v>31.6</v>
      </c>
      <c r="AY14" s="16">
        <v>19.8</v>
      </c>
      <c r="AZ14" s="16">
        <v>23.3</v>
      </c>
      <c r="BA14" s="16">
        <v>66.7</v>
      </c>
      <c r="BB14" s="16">
        <v>73.8</v>
      </c>
    </row>
    <row r="15" spans="1:54">
      <c r="A15" s="3" t="s">
        <v>628</v>
      </c>
      <c r="B15" s="3" t="s">
        <v>629</v>
      </c>
      <c r="C15" s="3">
        <v>7</v>
      </c>
      <c r="D15" s="3" t="s">
        <v>641</v>
      </c>
      <c r="E15" s="11">
        <v>467</v>
      </c>
      <c r="F15" s="72">
        <v>11.2</v>
      </c>
      <c r="G15" s="16">
        <v>36.799999999999997</v>
      </c>
      <c r="H15" s="16">
        <v>91.9</v>
      </c>
      <c r="I15" s="16">
        <v>164.6</v>
      </c>
      <c r="J15" s="16">
        <v>213.4</v>
      </c>
      <c r="K15" s="16">
        <v>179.4</v>
      </c>
      <c r="L15" s="16">
        <v>48.5</v>
      </c>
      <c r="M15" s="16">
        <v>171.7</v>
      </c>
      <c r="N15" s="16">
        <v>149.69999999999999</v>
      </c>
      <c r="O15" s="16">
        <v>46.5</v>
      </c>
      <c r="P15" s="16">
        <v>42.8</v>
      </c>
      <c r="Q15" s="16">
        <v>27.2</v>
      </c>
      <c r="R15" s="16">
        <v>72.3</v>
      </c>
      <c r="S15" s="16">
        <v>219</v>
      </c>
      <c r="T15" s="16">
        <v>159.69999999999999</v>
      </c>
      <c r="U15" s="16">
        <v>270.2</v>
      </c>
      <c r="V15" s="16">
        <v>19.399999999999999</v>
      </c>
      <c r="W15" s="16">
        <v>39</v>
      </c>
      <c r="X15" s="16">
        <v>82.5</v>
      </c>
      <c r="Y15" s="16">
        <v>80.099999999999994</v>
      </c>
      <c r="Z15" s="16">
        <v>68.2</v>
      </c>
      <c r="AA15" s="16">
        <v>19.399999999999999</v>
      </c>
      <c r="AB15" s="16">
        <v>43.3</v>
      </c>
      <c r="AC15" s="16">
        <v>4.5999999999999996</v>
      </c>
      <c r="AD15" s="16">
        <v>63.4</v>
      </c>
      <c r="AE15" s="16">
        <v>84.3</v>
      </c>
      <c r="AF15" s="16">
        <v>9.49</v>
      </c>
      <c r="AG15" s="16">
        <v>10.45</v>
      </c>
      <c r="AH15" s="16">
        <v>15.81</v>
      </c>
      <c r="AI15" s="16">
        <v>13.26</v>
      </c>
      <c r="AJ15" s="16">
        <v>15.25</v>
      </c>
      <c r="AK15" s="16">
        <v>17.59</v>
      </c>
      <c r="AL15" s="11">
        <v>1124</v>
      </c>
      <c r="AM15" s="16">
        <v>173</v>
      </c>
      <c r="AN15" s="16">
        <v>448</v>
      </c>
      <c r="AO15" s="16">
        <v>788</v>
      </c>
      <c r="AP15" s="16">
        <v>672</v>
      </c>
      <c r="AQ15" s="16">
        <v>791</v>
      </c>
      <c r="AR15" s="16">
        <v>849</v>
      </c>
      <c r="AS15" s="30">
        <v>172.6</v>
      </c>
      <c r="AT15" s="30">
        <v>444.9</v>
      </c>
      <c r="AU15" s="30">
        <v>756.09999999999991</v>
      </c>
      <c r="AV15" s="30">
        <v>709.49999999999989</v>
      </c>
      <c r="AW15" s="30">
        <v>723.39999999999986</v>
      </c>
      <c r="AX15" s="16">
        <v>21.3</v>
      </c>
      <c r="AY15" s="16">
        <v>26.7</v>
      </c>
      <c r="AZ15" s="16">
        <v>135.69999999999999</v>
      </c>
      <c r="BA15" s="16">
        <v>146.4</v>
      </c>
      <c r="BB15" s="16">
        <v>78.5</v>
      </c>
    </row>
    <row r="16" spans="1:54">
      <c r="A16" s="3" t="s">
        <v>630</v>
      </c>
      <c r="B16" s="3" t="s">
        <v>631</v>
      </c>
      <c r="C16" s="3">
        <v>8</v>
      </c>
      <c r="D16" s="3" t="s">
        <v>759</v>
      </c>
      <c r="E16" s="11">
        <v>790</v>
      </c>
      <c r="F16" s="72">
        <v>14.1</v>
      </c>
      <c r="G16" s="16">
        <v>20.399999999999999</v>
      </c>
      <c r="H16" s="16">
        <v>91.4</v>
      </c>
      <c r="I16" s="16">
        <v>127.3</v>
      </c>
      <c r="J16" s="16">
        <v>184.6</v>
      </c>
      <c r="K16" s="16">
        <v>274.2</v>
      </c>
      <c r="L16" s="16">
        <v>40.9</v>
      </c>
      <c r="M16" s="16">
        <v>129.5</v>
      </c>
      <c r="N16" s="16">
        <v>121.6</v>
      </c>
      <c r="O16" s="16">
        <v>100.8</v>
      </c>
      <c r="P16" s="16">
        <v>101</v>
      </c>
      <c r="Q16" s="16">
        <v>34.5</v>
      </c>
      <c r="R16" s="16">
        <v>88.2</v>
      </c>
      <c r="S16" s="16">
        <v>172.1</v>
      </c>
      <c r="T16" s="16">
        <v>185.1</v>
      </c>
      <c r="U16" s="16">
        <v>319.60000000000002</v>
      </c>
      <c r="V16" s="16">
        <v>19.2</v>
      </c>
      <c r="W16" s="16">
        <v>46</v>
      </c>
      <c r="X16" s="16">
        <v>66.400000000000006</v>
      </c>
      <c r="Y16" s="16">
        <v>87.7</v>
      </c>
      <c r="Z16" s="16">
        <v>126</v>
      </c>
      <c r="AA16" s="16">
        <v>17.899999999999999</v>
      </c>
      <c r="AB16" s="16">
        <v>47.1</v>
      </c>
      <c r="AC16" s="16">
        <v>87.3</v>
      </c>
      <c r="AD16" s="16">
        <v>66.7</v>
      </c>
      <c r="AE16" s="16">
        <v>97.5</v>
      </c>
      <c r="AF16" s="16">
        <v>7.84</v>
      </c>
      <c r="AG16" s="16">
        <v>9.07</v>
      </c>
      <c r="AH16" s="16">
        <v>13.62</v>
      </c>
      <c r="AI16" s="16">
        <v>10.37</v>
      </c>
      <c r="AJ16" s="16">
        <v>15.49</v>
      </c>
      <c r="AK16" s="16">
        <v>17.64</v>
      </c>
      <c r="AL16" s="11">
        <v>1285</v>
      </c>
      <c r="AM16" s="16">
        <v>141</v>
      </c>
      <c r="AN16" s="16">
        <v>440</v>
      </c>
      <c r="AO16" s="16">
        <v>731</v>
      </c>
      <c r="AP16" s="16">
        <v>586</v>
      </c>
      <c r="AQ16" s="16">
        <v>1136</v>
      </c>
      <c r="AR16" s="16">
        <v>1192</v>
      </c>
      <c r="AS16" s="30">
        <v>139.30000000000001</v>
      </c>
      <c r="AT16" s="30">
        <v>423.9</v>
      </c>
      <c r="AU16" s="30">
        <v>719.50000000000011</v>
      </c>
      <c r="AV16" s="30">
        <v>720.4</v>
      </c>
      <c r="AW16" s="30">
        <v>1052</v>
      </c>
      <c r="AX16" s="16">
        <v>6.4</v>
      </c>
      <c r="AY16" s="16">
        <v>21.7</v>
      </c>
      <c r="AZ16" s="16">
        <v>144.80000000000001</v>
      </c>
      <c r="BA16" s="16">
        <v>95.5</v>
      </c>
      <c r="BB16" s="16">
        <v>133.69999999999999</v>
      </c>
    </row>
    <row r="17" spans="1:54">
      <c r="A17" s="3" t="s">
        <v>632</v>
      </c>
      <c r="B17" s="3" t="s">
        <v>633</v>
      </c>
      <c r="C17" s="3">
        <v>9</v>
      </c>
      <c r="D17" s="3" t="s">
        <v>641</v>
      </c>
      <c r="E17" s="11">
        <v>554</v>
      </c>
      <c r="F17" s="72">
        <v>15.4</v>
      </c>
      <c r="G17" s="16">
        <v>35.5</v>
      </c>
      <c r="H17" s="16">
        <v>122.6</v>
      </c>
      <c r="I17" s="16">
        <v>218.1</v>
      </c>
      <c r="J17" s="16">
        <v>413</v>
      </c>
      <c r="K17" s="16">
        <v>400.4</v>
      </c>
      <c r="L17" s="16">
        <v>29.6</v>
      </c>
      <c r="M17" s="16">
        <v>255.5</v>
      </c>
      <c r="N17" s="16">
        <v>219</v>
      </c>
      <c r="O17" s="16">
        <v>161.19999999999999</v>
      </c>
      <c r="P17" s="16">
        <v>126.5</v>
      </c>
      <c r="Q17" s="16">
        <v>5.9</v>
      </c>
      <c r="R17" s="16">
        <v>38.799999999999997</v>
      </c>
      <c r="S17" s="16">
        <v>215.4</v>
      </c>
      <c r="T17" s="16">
        <v>304.8</v>
      </c>
      <c r="U17" s="16">
        <v>346.8</v>
      </c>
      <c r="V17" s="16">
        <v>11.8</v>
      </c>
      <c r="W17" s="16">
        <v>29.7</v>
      </c>
      <c r="X17" s="16">
        <v>105.9</v>
      </c>
      <c r="Y17" s="16">
        <v>181</v>
      </c>
      <c r="Z17" s="16">
        <v>132.80000000000001</v>
      </c>
      <c r="AA17" s="16">
        <v>23.7</v>
      </c>
      <c r="AB17" s="16">
        <v>47.9</v>
      </c>
      <c r="AC17" s="16">
        <v>81</v>
      </c>
      <c r="AD17" s="16">
        <v>118.8</v>
      </c>
      <c r="AE17" s="16">
        <v>113.1</v>
      </c>
      <c r="AF17" s="16">
        <v>9.83</v>
      </c>
      <c r="AG17" s="16">
        <v>16.27</v>
      </c>
      <c r="AH17" s="16">
        <v>31.26</v>
      </c>
      <c r="AI17" s="16">
        <v>46.37</v>
      </c>
      <c r="AJ17" s="16">
        <v>38.82</v>
      </c>
      <c r="AK17" s="16">
        <v>42.81</v>
      </c>
      <c r="AL17" s="11">
        <v>1877</v>
      </c>
      <c r="AM17" s="16">
        <v>124</v>
      </c>
      <c r="AN17" s="16">
        <v>517</v>
      </c>
      <c r="AO17" s="16">
        <v>1150</v>
      </c>
      <c r="AP17" s="16">
        <v>1526</v>
      </c>
      <c r="AQ17" s="16">
        <v>1476</v>
      </c>
      <c r="AR17" s="16">
        <v>1520</v>
      </c>
      <c r="AS17" s="30">
        <v>124.30000000000001</v>
      </c>
      <c r="AT17" s="30">
        <v>517</v>
      </c>
      <c r="AU17" s="30">
        <v>1133.7</v>
      </c>
      <c r="AV17" s="30">
        <v>1336.1</v>
      </c>
      <c r="AW17" s="30">
        <v>1225.3</v>
      </c>
      <c r="AX17" s="16">
        <v>17.8</v>
      </c>
      <c r="AY17" s="16">
        <v>22.5</v>
      </c>
      <c r="AZ17" s="16">
        <v>294.3</v>
      </c>
      <c r="BA17" s="16">
        <v>157.30000000000001</v>
      </c>
      <c r="BB17" s="16">
        <v>105.7</v>
      </c>
    </row>
    <row r="18" spans="1:54">
      <c r="A18" s="3" t="s">
        <v>634</v>
      </c>
      <c r="B18" s="3" t="s">
        <v>715</v>
      </c>
      <c r="C18" s="3">
        <v>10</v>
      </c>
      <c r="D18" s="3" t="s">
        <v>664</v>
      </c>
      <c r="E18" s="11">
        <v>439</v>
      </c>
      <c r="F18" s="72">
        <v>10.199999999999999</v>
      </c>
      <c r="G18" s="16">
        <v>47.9</v>
      </c>
      <c r="H18" s="16">
        <v>77.5</v>
      </c>
      <c r="I18" s="16">
        <v>163</v>
      </c>
      <c r="J18" s="16">
        <v>215</v>
      </c>
      <c r="K18" s="16">
        <v>324.60000000000002</v>
      </c>
      <c r="L18" s="16">
        <v>30.5</v>
      </c>
      <c r="M18" s="16">
        <v>93.5</v>
      </c>
      <c r="N18" s="16">
        <v>256.8</v>
      </c>
      <c r="O18" s="16">
        <v>374.8</v>
      </c>
      <c r="P18" s="16">
        <v>118.3</v>
      </c>
      <c r="Q18" s="16">
        <v>43.6</v>
      </c>
      <c r="R18" s="16">
        <v>96.3</v>
      </c>
      <c r="S18" s="16">
        <v>161.4</v>
      </c>
      <c r="T18" s="16">
        <v>196.8</v>
      </c>
      <c r="U18" s="16">
        <v>353.5</v>
      </c>
      <c r="V18" s="16">
        <v>21.8</v>
      </c>
      <c r="W18" s="16">
        <v>97.2</v>
      </c>
      <c r="X18" s="16">
        <v>119.3</v>
      </c>
      <c r="Y18" s="16">
        <v>161.9</v>
      </c>
      <c r="Z18" s="16">
        <v>103.5</v>
      </c>
      <c r="AA18" s="16">
        <v>26.1</v>
      </c>
      <c r="AB18" s="16">
        <v>50.7</v>
      </c>
      <c r="AC18" s="16">
        <v>89</v>
      </c>
      <c r="AD18" s="16">
        <v>71</v>
      </c>
      <c r="AE18" s="16">
        <v>84.4</v>
      </c>
      <c r="AF18" s="16">
        <v>11.63</v>
      </c>
      <c r="AG18" s="16">
        <v>10.039999999999999</v>
      </c>
      <c r="AH18" s="16">
        <v>16.510000000000002</v>
      </c>
      <c r="AI18" s="16">
        <v>23.58</v>
      </c>
      <c r="AJ18" s="16">
        <v>24.21</v>
      </c>
      <c r="AK18" s="16">
        <v>26.94</v>
      </c>
      <c r="AL18" s="11">
        <v>1036</v>
      </c>
      <c r="AM18" s="16">
        <v>200</v>
      </c>
      <c r="AN18" s="16">
        <v>447</v>
      </c>
      <c r="AO18" s="16">
        <v>983</v>
      </c>
      <c r="AP18" s="16">
        <v>1156</v>
      </c>
      <c r="AQ18" s="16">
        <v>1174</v>
      </c>
      <c r="AR18" s="16">
        <v>1213</v>
      </c>
      <c r="AS18" s="30">
        <v>196</v>
      </c>
      <c r="AT18" s="30">
        <v>443.4</v>
      </c>
      <c r="AU18" s="30">
        <v>977.7</v>
      </c>
      <c r="AV18" s="30">
        <v>1120.9000000000001</v>
      </c>
      <c r="AW18" s="30">
        <v>1048.2</v>
      </c>
      <c r="AX18" s="16">
        <v>26.1</v>
      </c>
      <c r="AY18" s="16">
        <v>28.2</v>
      </c>
      <c r="AZ18" s="16">
        <v>188.2</v>
      </c>
      <c r="BA18" s="16">
        <v>101.4</v>
      </c>
      <c r="BB18" s="16">
        <v>63.9</v>
      </c>
    </row>
    <row r="19" spans="1:54">
      <c r="A19" s="3" t="s">
        <v>716</v>
      </c>
      <c r="B19" s="3" t="s">
        <v>717</v>
      </c>
      <c r="C19" s="3">
        <v>11</v>
      </c>
      <c r="D19" s="3" t="s">
        <v>541</v>
      </c>
      <c r="E19" s="11">
        <v>1295</v>
      </c>
      <c r="F19" s="72">
        <v>15.4</v>
      </c>
      <c r="G19" s="16">
        <v>58.8</v>
      </c>
      <c r="H19" s="16">
        <v>151.9</v>
      </c>
      <c r="I19" s="16">
        <v>296</v>
      </c>
      <c r="J19" s="16">
        <v>331.8</v>
      </c>
      <c r="K19" s="16">
        <v>387.2</v>
      </c>
      <c r="L19" s="16">
        <v>97.9</v>
      </c>
      <c r="M19" s="16">
        <v>398.8</v>
      </c>
      <c r="N19" s="16">
        <v>622.79999999999995</v>
      </c>
      <c r="O19" s="16">
        <v>253.6</v>
      </c>
      <c r="P19" s="16">
        <v>409.1</v>
      </c>
      <c r="Q19" s="16">
        <v>13.1</v>
      </c>
      <c r="R19" s="16">
        <v>46.2</v>
      </c>
      <c r="S19" s="16">
        <v>187</v>
      </c>
      <c r="T19" s="16">
        <v>240.1</v>
      </c>
      <c r="U19" s="16">
        <v>443.8</v>
      </c>
      <c r="V19" s="17"/>
      <c r="W19" s="16">
        <v>37.200000000000003</v>
      </c>
      <c r="X19" s="16">
        <v>140.19999999999999</v>
      </c>
      <c r="Y19" s="16">
        <v>208.5</v>
      </c>
      <c r="Z19" s="16">
        <v>290</v>
      </c>
      <c r="AA19" s="16">
        <v>32.6</v>
      </c>
      <c r="AB19" s="16">
        <v>65.2</v>
      </c>
      <c r="AC19" s="16">
        <v>109.1</v>
      </c>
      <c r="AD19" s="16">
        <v>71.900000000000006</v>
      </c>
      <c r="AE19" s="16">
        <v>111</v>
      </c>
      <c r="AF19" s="16">
        <v>7.12</v>
      </c>
      <c r="AG19" s="16">
        <v>9.7899999999999991</v>
      </c>
      <c r="AH19" s="16">
        <v>18.68</v>
      </c>
      <c r="AI19" s="16">
        <v>12.46</v>
      </c>
      <c r="AJ19" s="16">
        <v>21.09</v>
      </c>
      <c r="AK19" s="16">
        <v>27.14</v>
      </c>
      <c r="AL19" s="11">
        <v>1782</v>
      </c>
      <c r="AM19" s="16">
        <v>209</v>
      </c>
      <c r="AN19" s="16">
        <v>799</v>
      </c>
      <c r="AO19" s="16">
        <v>1702</v>
      </c>
      <c r="AP19" s="16">
        <v>1024</v>
      </c>
      <c r="AQ19" s="16">
        <v>1853</v>
      </c>
      <c r="AR19" s="16">
        <v>2141</v>
      </c>
      <c r="AS19" s="30">
        <v>208.9</v>
      </c>
      <c r="AT19" s="30">
        <v>773.6</v>
      </c>
      <c r="AU19" s="30">
        <v>1557.6</v>
      </c>
      <c r="AV19" s="30">
        <v>1250.9000000000001</v>
      </c>
      <c r="AW19" s="30">
        <v>1828.9</v>
      </c>
      <c r="AX19" s="16">
        <v>6.5</v>
      </c>
      <c r="AY19" s="16">
        <v>74.3</v>
      </c>
      <c r="AZ19" s="16">
        <v>202.5</v>
      </c>
      <c r="BA19" s="16">
        <v>145</v>
      </c>
      <c r="BB19" s="16">
        <v>187.8</v>
      </c>
    </row>
    <row r="20" spans="1:54">
      <c r="A20" s="3" t="s">
        <v>718</v>
      </c>
      <c r="B20" s="3" t="s">
        <v>719</v>
      </c>
      <c r="C20" s="3">
        <v>12</v>
      </c>
      <c r="D20" s="3" t="s">
        <v>664</v>
      </c>
      <c r="E20" s="11">
        <v>620</v>
      </c>
      <c r="F20" s="72">
        <v>10.6</v>
      </c>
      <c r="G20" s="16">
        <v>64.5</v>
      </c>
      <c r="H20" s="16">
        <v>146</v>
      </c>
      <c r="I20" s="16">
        <v>402.5</v>
      </c>
      <c r="J20" s="16">
        <v>586.4</v>
      </c>
      <c r="K20" s="16">
        <v>758.1</v>
      </c>
      <c r="L20" s="16">
        <v>32.299999999999997</v>
      </c>
      <c r="M20" s="16">
        <v>280.5</v>
      </c>
      <c r="N20" s="16">
        <v>448.9</v>
      </c>
      <c r="O20" s="16">
        <v>306.5</v>
      </c>
      <c r="P20" s="16">
        <v>431.4</v>
      </c>
      <c r="Q20" s="16">
        <v>32.299999999999997</v>
      </c>
      <c r="R20" s="16">
        <v>51.1</v>
      </c>
      <c r="S20" s="16">
        <v>216.7</v>
      </c>
      <c r="T20" s="16">
        <v>301</v>
      </c>
      <c r="U20" s="16">
        <v>513.79999999999995</v>
      </c>
      <c r="V20" s="16">
        <v>32.299999999999997</v>
      </c>
      <c r="W20" s="16">
        <v>67.8</v>
      </c>
      <c r="X20" s="16">
        <v>123.9</v>
      </c>
      <c r="Y20" s="16">
        <v>350</v>
      </c>
      <c r="Z20" s="16">
        <v>240</v>
      </c>
      <c r="AA20" s="16">
        <v>32.299999999999997</v>
      </c>
      <c r="AB20" s="16">
        <v>59.4</v>
      </c>
      <c r="AC20" s="16">
        <v>108.4</v>
      </c>
      <c r="AD20" s="16">
        <v>128.80000000000001</v>
      </c>
      <c r="AE20" s="16">
        <v>156</v>
      </c>
      <c r="AF20" s="16">
        <v>13.23</v>
      </c>
      <c r="AG20" s="16">
        <v>21.99</v>
      </c>
      <c r="AH20" s="16">
        <v>41.41</v>
      </c>
      <c r="AI20" s="16">
        <v>30.75</v>
      </c>
      <c r="AJ20" s="16">
        <v>32.61</v>
      </c>
      <c r="AK20" s="16">
        <v>31.08</v>
      </c>
      <c r="AL20" s="11">
        <v>1878</v>
      </c>
      <c r="AM20" s="16">
        <v>202</v>
      </c>
      <c r="AN20" s="16">
        <v>636</v>
      </c>
      <c r="AO20" s="16">
        <v>1567</v>
      </c>
      <c r="AP20" s="16">
        <v>1932</v>
      </c>
      <c r="AQ20" s="16">
        <v>2442</v>
      </c>
      <c r="AR20" s="16">
        <v>2104</v>
      </c>
      <c r="AS20" s="30">
        <v>217.89999999999998</v>
      </c>
      <c r="AT20" s="30">
        <v>630.90000000000009</v>
      </c>
      <c r="AU20" s="30">
        <v>1548.1</v>
      </c>
      <c r="AV20" s="30">
        <v>2036.8000000000002</v>
      </c>
      <c r="AW20" s="30">
        <v>2390.5</v>
      </c>
      <c r="AX20" s="16">
        <v>24.2</v>
      </c>
      <c r="AY20" s="16">
        <v>26.1</v>
      </c>
      <c r="AZ20" s="16">
        <v>247.7</v>
      </c>
      <c r="BA20" s="16">
        <v>364.1</v>
      </c>
      <c r="BB20" s="16">
        <v>291.2</v>
      </c>
    </row>
    <row r="21" spans="1:54">
      <c r="A21" s="3" t="s">
        <v>711</v>
      </c>
      <c r="B21" s="3" t="s">
        <v>712</v>
      </c>
      <c r="C21" s="3">
        <v>13</v>
      </c>
      <c r="D21" s="3" t="s">
        <v>713</v>
      </c>
      <c r="E21" s="11">
        <v>760</v>
      </c>
      <c r="F21" s="72">
        <v>10.4</v>
      </c>
      <c r="G21" s="16">
        <v>50.7</v>
      </c>
      <c r="H21" s="16">
        <v>97.8</v>
      </c>
      <c r="I21" s="16">
        <v>199.5</v>
      </c>
      <c r="J21" s="16">
        <v>160.30000000000001</v>
      </c>
      <c r="K21" s="16">
        <v>246</v>
      </c>
      <c r="L21" s="16">
        <v>82.5</v>
      </c>
      <c r="M21" s="16">
        <v>199.3</v>
      </c>
      <c r="N21" s="16">
        <v>115.4</v>
      </c>
      <c r="O21" s="16">
        <v>55.8</v>
      </c>
      <c r="P21" s="16">
        <v>123.8</v>
      </c>
      <c r="Q21" s="16">
        <v>31.7</v>
      </c>
      <c r="R21" s="16">
        <v>88.9</v>
      </c>
      <c r="S21" s="16">
        <v>153.19999999999999</v>
      </c>
      <c r="T21" s="16">
        <v>120.4</v>
      </c>
      <c r="U21" s="16">
        <v>291.89999999999998</v>
      </c>
      <c r="V21" s="16">
        <v>29.2</v>
      </c>
      <c r="W21" s="16">
        <v>70.099999999999994</v>
      </c>
      <c r="X21" s="16">
        <v>101.2</v>
      </c>
      <c r="Y21" s="16">
        <v>60.5</v>
      </c>
      <c r="Z21" s="16">
        <v>94.3</v>
      </c>
      <c r="AA21" s="16">
        <v>26.6</v>
      </c>
      <c r="AB21" s="16">
        <v>59.6</v>
      </c>
      <c r="AC21" s="16">
        <v>80</v>
      </c>
      <c r="AD21" s="16">
        <v>54.5</v>
      </c>
      <c r="AE21" s="16">
        <v>83.3</v>
      </c>
      <c r="AF21" s="16">
        <v>5.95</v>
      </c>
      <c r="AG21" s="16">
        <v>7.92</v>
      </c>
      <c r="AH21" s="16">
        <v>9.7799999999999994</v>
      </c>
      <c r="AI21" s="16">
        <v>8.68</v>
      </c>
      <c r="AJ21" s="16">
        <v>21.16</v>
      </c>
      <c r="AK21" s="16">
        <v>21.76</v>
      </c>
      <c r="AL21" s="11">
        <v>784</v>
      </c>
      <c r="AM21" s="16">
        <v>244</v>
      </c>
      <c r="AN21" s="16">
        <v>586</v>
      </c>
      <c r="AO21" s="16">
        <v>770</v>
      </c>
      <c r="AP21" s="16">
        <v>411</v>
      </c>
      <c r="AQ21" s="16">
        <v>983</v>
      </c>
      <c r="AR21" s="16">
        <v>929</v>
      </c>
      <c r="AS21" s="30">
        <v>234.70000000000002</v>
      </c>
      <c r="AT21" s="30">
        <v>566.5</v>
      </c>
      <c r="AU21" s="30">
        <v>699.19999999999993</v>
      </c>
      <c r="AV21" s="30">
        <v>530.4</v>
      </c>
      <c r="AW21" s="30">
        <v>921.4</v>
      </c>
      <c r="AX21" s="16">
        <v>14</v>
      </c>
      <c r="AY21" s="16">
        <v>50.8</v>
      </c>
      <c r="AZ21" s="16">
        <v>49.9</v>
      </c>
      <c r="BA21" s="16">
        <v>78.900000000000006</v>
      </c>
      <c r="BB21" s="16">
        <v>82.1</v>
      </c>
    </row>
    <row r="22" spans="1:54">
      <c r="A22" s="3" t="s">
        <v>714</v>
      </c>
      <c r="B22" s="3" t="s">
        <v>530</v>
      </c>
      <c r="C22" s="3">
        <v>14</v>
      </c>
      <c r="D22" s="3" t="s">
        <v>641</v>
      </c>
      <c r="E22" s="11">
        <v>552</v>
      </c>
      <c r="F22" s="72">
        <v>13.2</v>
      </c>
      <c r="G22" s="16">
        <v>34.799999999999997</v>
      </c>
      <c r="H22" s="16">
        <v>72.8</v>
      </c>
      <c r="I22" s="16">
        <v>129.1</v>
      </c>
      <c r="J22" s="16">
        <v>147.5</v>
      </c>
      <c r="K22" s="16">
        <v>230.4</v>
      </c>
      <c r="L22" s="16">
        <v>55.2</v>
      </c>
      <c r="M22" s="16">
        <v>144.6</v>
      </c>
      <c r="N22" s="16">
        <v>201.1</v>
      </c>
      <c r="O22" s="16">
        <v>82.3</v>
      </c>
      <c r="P22" s="16">
        <v>143</v>
      </c>
      <c r="Q22" s="16">
        <v>8.6999999999999993</v>
      </c>
      <c r="R22" s="16">
        <v>52.9</v>
      </c>
      <c r="S22" s="16">
        <v>165</v>
      </c>
      <c r="T22" s="16">
        <v>140.6</v>
      </c>
      <c r="U22" s="16">
        <v>248.9</v>
      </c>
      <c r="V22" s="16">
        <v>14.5</v>
      </c>
      <c r="W22" s="16">
        <v>37.200000000000003</v>
      </c>
      <c r="X22" s="16">
        <v>50.2</v>
      </c>
      <c r="Y22" s="16">
        <v>83.8</v>
      </c>
      <c r="Z22" s="16">
        <v>88.9</v>
      </c>
      <c r="AA22" s="16">
        <v>23.2</v>
      </c>
      <c r="AB22" s="16">
        <v>43.3</v>
      </c>
      <c r="AC22" s="16">
        <v>57.4</v>
      </c>
      <c r="AD22" s="16">
        <v>48.8</v>
      </c>
      <c r="AE22" s="16">
        <v>66.099999999999994</v>
      </c>
      <c r="AF22" s="16">
        <v>11.17</v>
      </c>
      <c r="AG22" s="16">
        <v>11.9</v>
      </c>
      <c r="AH22" s="16">
        <v>16.46</v>
      </c>
      <c r="AI22" s="16">
        <v>15.42</v>
      </c>
      <c r="AJ22" s="16">
        <v>21.68</v>
      </c>
      <c r="AK22" s="16">
        <v>22.15</v>
      </c>
      <c r="AL22" s="11">
        <v>1145</v>
      </c>
      <c r="AM22" s="16">
        <v>157</v>
      </c>
      <c r="AN22" s="16">
        <v>374</v>
      </c>
      <c r="AO22" s="16">
        <v>725</v>
      </c>
      <c r="AP22" s="16">
        <v>560</v>
      </c>
      <c r="AQ22" s="16">
        <v>942</v>
      </c>
      <c r="AR22" s="16">
        <v>887</v>
      </c>
      <c r="AS22" s="30">
        <v>156.69999999999999</v>
      </c>
      <c r="AT22" s="30">
        <v>371.6</v>
      </c>
      <c r="AU22" s="30">
        <v>703.2</v>
      </c>
      <c r="AV22" s="30">
        <v>607.70000000000005</v>
      </c>
      <c r="AW22" s="30">
        <v>842.3</v>
      </c>
      <c r="AX22" s="16">
        <v>20.3</v>
      </c>
      <c r="AY22" s="16">
        <v>20.8</v>
      </c>
      <c r="AZ22" s="16">
        <v>100.4</v>
      </c>
      <c r="BA22" s="16">
        <v>104.7</v>
      </c>
      <c r="BB22" s="16">
        <v>65</v>
      </c>
    </row>
    <row r="23" spans="1:54">
      <c r="A23" s="3" t="s">
        <v>620</v>
      </c>
      <c r="B23" s="3" t="s">
        <v>621</v>
      </c>
      <c r="C23" s="3">
        <v>15</v>
      </c>
      <c r="D23" s="3" t="s">
        <v>541</v>
      </c>
      <c r="E23" s="11">
        <v>2051</v>
      </c>
      <c r="F23" s="72">
        <v>18.8</v>
      </c>
      <c r="G23" s="16">
        <v>58.1</v>
      </c>
      <c r="H23" s="16">
        <v>200.5</v>
      </c>
      <c r="I23" s="16">
        <v>286.5</v>
      </c>
      <c r="J23" s="16">
        <v>421.7</v>
      </c>
      <c r="K23" s="16">
        <v>582.79999999999995</v>
      </c>
      <c r="L23" s="16">
        <v>19.399999999999999</v>
      </c>
      <c r="M23" s="16">
        <v>279.60000000000002</v>
      </c>
      <c r="N23" s="16">
        <v>301.10000000000002</v>
      </c>
      <c r="O23" s="16">
        <v>255.8</v>
      </c>
      <c r="P23" s="16">
        <v>305.2</v>
      </c>
      <c r="Q23" s="17"/>
      <c r="R23" s="16">
        <v>94.7</v>
      </c>
      <c r="S23" s="16">
        <v>263.5</v>
      </c>
      <c r="T23" s="16">
        <v>355.7</v>
      </c>
      <c r="U23" s="16">
        <v>631.70000000000005</v>
      </c>
      <c r="V23" s="16">
        <v>19.399999999999999</v>
      </c>
      <c r="W23" s="16">
        <v>91</v>
      </c>
      <c r="X23" s="16">
        <v>200.2</v>
      </c>
      <c r="Y23" s="16">
        <v>262.2</v>
      </c>
      <c r="Z23" s="16">
        <v>311.89999999999998</v>
      </c>
      <c r="AA23" s="16">
        <v>38.700000000000003</v>
      </c>
      <c r="AB23" s="16">
        <v>98.4</v>
      </c>
      <c r="AC23" s="16">
        <v>103.7</v>
      </c>
      <c r="AD23" s="16">
        <v>117.6</v>
      </c>
      <c r="AE23" s="16">
        <v>195.3</v>
      </c>
      <c r="AF23" s="16">
        <v>4.7300000000000004</v>
      </c>
      <c r="AG23" s="16">
        <v>10.220000000000001</v>
      </c>
      <c r="AH23" s="16">
        <v>9.7100000000000009</v>
      </c>
      <c r="AI23" s="16">
        <v>14.55</v>
      </c>
      <c r="AJ23" s="16">
        <v>12.03</v>
      </c>
      <c r="AK23" s="16">
        <v>12.65</v>
      </c>
      <c r="AL23" s="11">
        <v>2114</v>
      </c>
      <c r="AM23" s="16">
        <v>136</v>
      </c>
      <c r="AN23" s="16">
        <v>826</v>
      </c>
      <c r="AO23" s="16">
        <v>1513</v>
      </c>
      <c r="AP23" s="16">
        <v>1791</v>
      </c>
      <c r="AQ23" s="16">
        <v>2397</v>
      </c>
      <c r="AR23" s="16">
        <v>2423</v>
      </c>
      <c r="AS23" s="30">
        <v>135.60000000000002</v>
      </c>
      <c r="AT23" s="30">
        <v>809.3</v>
      </c>
      <c r="AU23" s="30">
        <v>1454.1</v>
      </c>
      <c r="AV23" s="30">
        <v>1691.8999999999999</v>
      </c>
      <c r="AW23" s="30">
        <v>2230.6999999999998</v>
      </c>
      <c r="AX23" s="17"/>
      <c r="AY23" s="16">
        <v>45.1</v>
      </c>
      <c r="AZ23" s="16">
        <v>299.10000000000002</v>
      </c>
      <c r="BA23" s="16">
        <v>278.89999999999998</v>
      </c>
      <c r="BB23" s="16">
        <v>203.8</v>
      </c>
    </row>
    <row r="24" spans="1:54">
      <c r="A24" s="3" t="s">
        <v>622</v>
      </c>
      <c r="B24" s="3" t="s">
        <v>925</v>
      </c>
      <c r="C24" s="3">
        <v>16</v>
      </c>
      <c r="D24" s="3" t="s">
        <v>541</v>
      </c>
      <c r="E24" s="11">
        <v>905</v>
      </c>
      <c r="F24" s="72">
        <v>12.4</v>
      </c>
      <c r="G24" s="16">
        <v>54.9</v>
      </c>
      <c r="H24" s="16">
        <v>189.9</v>
      </c>
      <c r="I24" s="16">
        <v>183.5</v>
      </c>
      <c r="J24" s="16">
        <v>251.8</v>
      </c>
      <c r="K24" s="16">
        <v>370.8</v>
      </c>
      <c r="L24" s="16">
        <v>5.5</v>
      </c>
      <c r="M24" s="16">
        <v>407.8</v>
      </c>
      <c r="N24" s="16">
        <v>195.7</v>
      </c>
      <c r="O24" s="16">
        <v>70.900000000000006</v>
      </c>
      <c r="P24" s="16">
        <v>80.3</v>
      </c>
      <c r="Q24" s="16">
        <v>27.4</v>
      </c>
      <c r="R24" s="16">
        <v>102.8</v>
      </c>
      <c r="S24" s="16">
        <v>256</v>
      </c>
      <c r="T24" s="16">
        <v>278.8</v>
      </c>
      <c r="U24" s="16">
        <v>379.1</v>
      </c>
      <c r="V24" s="16">
        <v>11</v>
      </c>
      <c r="W24" s="16">
        <v>67.099999999999994</v>
      </c>
      <c r="X24" s="16">
        <v>132.6</v>
      </c>
      <c r="Y24" s="16">
        <v>158.6</v>
      </c>
      <c r="Z24" s="16">
        <v>122.3</v>
      </c>
      <c r="AA24" s="16">
        <v>32.9</v>
      </c>
      <c r="AB24" s="16">
        <v>69.8</v>
      </c>
      <c r="AC24" s="16">
        <v>111.5</v>
      </c>
      <c r="AD24" s="16">
        <v>83.4</v>
      </c>
      <c r="AE24" s="16">
        <v>109.9</v>
      </c>
      <c r="AF24" s="16">
        <v>5.08</v>
      </c>
      <c r="AG24" s="16">
        <v>10.9</v>
      </c>
      <c r="AH24" s="16">
        <v>12.04</v>
      </c>
      <c r="AI24" s="16">
        <v>14.87</v>
      </c>
      <c r="AJ24" s="16">
        <v>16.350000000000001</v>
      </c>
      <c r="AK24" s="16">
        <v>17.260000000000002</v>
      </c>
      <c r="AL24" s="11">
        <v>1295</v>
      </c>
      <c r="AM24" s="16">
        <v>143</v>
      </c>
      <c r="AN24" s="16">
        <v>888</v>
      </c>
      <c r="AO24" s="16">
        <v>1101</v>
      </c>
      <c r="AP24" s="16">
        <v>1148</v>
      </c>
      <c r="AQ24" s="16">
        <v>1379</v>
      </c>
      <c r="AR24" s="16">
        <v>1348</v>
      </c>
      <c r="AS24" s="30">
        <v>142.69999999999999</v>
      </c>
      <c r="AT24" s="30">
        <v>874.7</v>
      </c>
      <c r="AU24" s="30">
        <v>1095.9000000000001</v>
      </c>
      <c r="AV24" s="30">
        <v>1000.8000000000001</v>
      </c>
      <c r="AW24" s="30">
        <v>1206.0999999999999</v>
      </c>
      <c r="AX24" s="16">
        <v>11</v>
      </c>
      <c r="AY24" s="16">
        <v>37.299999999999997</v>
      </c>
      <c r="AZ24" s="16">
        <v>216.6</v>
      </c>
      <c r="BA24" s="16">
        <v>157.30000000000001</v>
      </c>
      <c r="BB24" s="16">
        <v>143.69999999999999</v>
      </c>
    </row>
    <row r="25" spans="1:54">
      <c r="A25" s="3" t="s">
        <v>926</v>
      </c>
      <c r="B25" s="3" t="s">
        <v>927</v>
      </c>
      <c r="C25" s="3">
        <v>17</v>
      </c>
      <c r="D25" s="3" t="s">
        <v>664</v>
      </c>
      <c r="E25" s="11">
        <v>463</v>
      </c>
      <c r="F25" s="72">
        <v>10.7</v>
      </c>
      <c r="G25" s="16">
        <v>33.1</v>
      </c>
      <c r="H25" s="16">
        <v>75</v>
      </c>
      <c r="I25" s="16">
        <v>214.7</v>
      </c>
      <c r="J25" s="16">
        <v>209.9</v>
      </c>
      <c r="K25" s="16">
        <v>240.4</v>
      </c>
      <c r="L25" s="16">
        <v>15.3</v>
      </c>
      <c r="M25" s="16">
        <v>74.099999999999994</v>
      </c>
      <c r="N25" s="16">
        <v>145.9</v>
      </c>
      <c r="O25" s="16">
        <v>154.6</v>
      </c>
      <c r="P25" s="16">
        <v>106.7</v>
      </c>
      <c r="Q25" s="16">
        <v>38.200000000000003</v>
      </c>
      <c r="R25" s="16">
        <v>59.6</v>
      </c>
      <c r="S25" s="16">
        <v>206.1</v>
      </c>
      <c r="T25" s="16">
        <v>140</v>
      </c>
      <c r="U25" s="16">
        <v>217.7</v>
      </c>
      <c r="V25" s="16">
        <v>40.700000000000003</v>
      </c>
      <c r="W25" s="16">
        <v>58</v>
      </c>
      <c r="X25" s="16">
        <v>128.80000000000001</v>
      </c>
      <c r="Y25" s="16">
        <v>135.80000000000001</v>
      </c>
      <c r="Z25" s="16">
        <v>118.6</v>
      </c>
      <c r="AA25" s="16">
        <v>28</v>
      </c>
      <c r="AB25" s="16">
        <v>59.1</v>
      </c>
      <c r="AC25" s="16">
        <v>77.3</v>
      </c>
      <c r="AD25" s="16">
        <v>67.599999999999994</v>
      </c>
      <c r="AE25" s="16">
        <v>73.3</v>
      </c>
      <c r="AF25" s="16">
        <v>7.33</v>
      </c>
      <c r="AG25" s="16">
        <v>8.01</v>
      </c>
      <c r="AH25" s="16">
        <v>17.18</v>
      </c>
      <c r="AI25" s="16">
        <v>16.21</v>
      </c>
      <c r="AJ25" s="16">
        <v>19.46</v>
      </c>
      <c r="AK25" s="16">
        <v>19.34</v>
      </c>
      <c r="AL25" s="11">
        <v>941</v>
      </c>
      <c r="AM25" s="16">
        <v>168</v>
      </c>
      <c r="AN25" s="16">
        <v>374</v>
      </c>
      <c r="AO25" s="16">
        <v>945</v>
      </c>
      <c r="AP25" s="16">
        <v>704</v>
      </c>
      <c r="AQ25" s="16">
        <v>918</v>
      </c>
      <c r="AR25" s="16">
        <v>842</v>
      </c>
      <c r="AS25" s="30">
        <v>165.5</v>
      </c>
      <c r="AT25" s="30">
        <v>366.79999999999995</v>
      </c>
      <c r="AU25" s="30">
        <v>858.69999999999993</v>
      </c>
      <c r="AV25" s="30">
        <v>806.8</v>
      </c>
      <c r="AW25" s="30">
        <v>858.6</v>
      </c>
      <c r="AX25" s="16">
        <v>10.199999999999999</v>
      </c>
      <c r="AY25" s="16">
        <v>41</v>
      </c>
      <c r="AZ25" s="16">
        <v>85.9</v>
      </c>
      <c r="BA25" s="16">
        <v>98.9</v>
      </c>
      <c r="BB25" s="16">
        <v>101.9</v>
      </c>
    </row>
    <row r="26" spans="1:54">
      <c r="A26" s="3" t="s">
        <v>928</v>
      </c>
      <c r="B26" s="3" t="s">
        <v>929</v>
      </c>
      <c r="C26" s="3">
        <v>18</v>
      </c>
      <c r="D26" s="3" t="s">
        <v>713</v>
      </c>
      <c r="E26" s="11">
        <v>638</v>
      </c>
      <c r="F26" s="72">
        <v>12.3</v>
      </c>
      <c r="G26" s="16">
        <v>41.2</v>
      </c>
      <c r="H26" s="16">
        <v>70.599999999999994</v>
      </c>
      <c r="I26" s="16">
        <v>360.6</v>
      </c>
      <c r="J26" s="16">
        <v>220.2</v>
      </c>
      <c r="K26" s="16">
        <v>404.5</v>
      </c>
      <c r="L26" s="16">
        <v>53</v>
      </c>
      <c r="M26" s="16">
        <v>197.4</v>
      </c>
      <c r="N26" s="16">
        <v>300.3</v>
      </c>
      <c r="O26" s="16">
        <v>113.7</v>
      </c>
      <c r="P26" s="16">
        <v>119.3</v>
      </c>
      <c r="Q26" s="16">
        <v>41.2</v>
      </c>
      <c r="R26" s="16">
        <v>85</v>
      </c>
      <c r="S26" s="16">
        <v>171.7</v>
      </c>
      <c r="T26" s="16">
        <v>185.2</v>
      </c>
      <c r="U26" s="16">
        <v>339</v>
      </c>
      <c r="V26" s="16">
        <v>38.299999999999997</v>
      </c>
      <c r="W26" s="16">
        <v>64.3</v>
      </c>
      <c r="X26" s="16">
        <v>101.3</v>
      </c>
      <c r="Y26" s="16">
        <v>113.5</v>
      </c>
      <c r="Z26" s="16">
        <v>155.30000000000001</v>
      </c>
      <c r="AA26" s="16">
        <v>20.6</v>
      </c>
      <c r="AB26" s="16">
        <v>50.6</v>
      </c>
      <c r="AC26" s="16">
        <v>86.4</v>
      </c>
      <c r="AD26" s="16">
        <v>72.8</v>
      </c>
      <c r="AE26" s="16">
        <v>88.2</v>
      </c>
      <c r="AF26" s="16">
        <v>10.89</v>
      </c>
      <c r="AG26" s="16">
        <v>13.89</v>
      </c>
      <c r="AH26" s="16">
        <v>25.97</v>
      </c>
      <c r="AI26" s="16">
        <v>18.66</v>
      </c>
      <c r="AJ26" s="16">
        <v>25.84</v>
      </c>
      <c r="AK26" s="16">
        <v>26.46</v>
      </c>
      <c r="AL26" s="11">
        <v>1246</v>
      </c>
      <c r="AM26" s="16">
        <v>209</v>
      </c>
      <c r="AN26" s="16">
        <v>532</v>
      </c>
      <c r="AO26" s="16">
        <v>1211</v>
      </c>
      <c r="AP26" s="16">
        <v>780</v>
      </c>
      <c r="AQ26" s="16">
        <v>1344</v>
      </c>
      <c r="AR26" s="16">
        <v>1290</v>
      </c>
      <c r="AS26" s="30">
        <v>206.10000000000002</v>
      </c>
      <c r="AT26" s="30">
        <v>514.79999999999995</v>
      </c>
      <c r="AU26" s="30">
        <v>1209.9000000000001</v>
      </c>
      <c r="AV26" s="30">
        <v>936.60000000000014</v>
      </c>
      <c r="AW26" s="30">
        <v>1248.5</v>
      </c>
      <c r="AX26" s="16">
        <v>11.8</v>
      </c>
      <c r="AY26" s="16">
        <v>46.9</v>
      </c>
      <c r="AZ26" s="16">
        <v>189.6</v>
      </c>
      <c r="BA26" s="16">
        <v>231.2</v>
      </c>
      <c r="BB26" s="16">
        <v>142.19999999999999</v>
      </c>
    </row>
    <row r="27" spans="1:54">
      <c r="A27" s="3" t="s">
        <v>841</v>
      </c>
      <c r="B27" s="3" t="s">
        <v>659</v>
      </c>
      <c r="C27" s="3">
        <v>19</v>
      </c>
      <c r="D27" s="3" t="s">
        <v>713</v>
      </c>
      <c r="E27" s="11">
        <v>979</v>
      </c>
      <c r="F27" s="72">
        <v>11.6</v>
      </c>
      <c r="G27" s="16">
        <v>41.5</v>
      </c>
      <c r="H27" s="16">
        <v>118.5</v>
      </c>
      <c r="I27" s="16">
        <v>258.2</v>
      </c>
      <c r="J27" s="16">
        <v>241.9</v>
      </c>
      <c r="K27" s="16">
        <v>312.3</v>
      </c>
      <c r="L27" s="16">
        <v>118.6</v>
      </c>
      <c r="M27" s="16">
        <v>110.7</v>
      </c>
      <c r="N27" s="16">
        <v>309.7</v>
      </c>
      <c r="O27" s="16">
        <v>241</v>
      </c>
      <c r="P27" s="16">
        <v>224</v>
      </c>
      <c r="Q27" s="16">
        <v>47.4</v>
      </c>
      <c r="R27" s="16">
        <v>83.6</v>
      </c>
      <c r="S27" s="16">
        <v>211.6</v>
      </c>
      <c r="T27" s="16">
        <v>179.8</v>
      </c>
      <c r="U27" s="16">
        <v>384.6</v>
      </c>
      <c r="V27" s="16">
        <v>17.8</v>
      </c>
      <c r="W27" s="16">
        <v>57.3</v>
      </c>
      <c r="X27" s="16">
        <v>111.8</v>
      </c>
      <c r="Y27" s="16">
        <v>120.9</v>
      </c>
      <c r="Z27" s="16">
        <v>145.9</v>
      </c>
      <c r="AA27" s="16">
        <v>11.9</v>
      </c>
      <c r="AB27" s="16">
        <v>87.5</v>
      </c>
      <c r="AC27" s="16">
        <v>149.4</v>
      </c>
      <c r="AD27" s="16">
        <v>87.2</v>
      </c>
      <c r="AE27" s="16">
        <v>66.2</v>
      </c>
      <c r="AF27" s="16">
        <v>14.24</v>
      </c>
      <c r="AG27" s="16">
        <v>9.76</v>
      </c>
      <c r="AH27" s="16">
        <v>18.09</v>
      </c>
      <c r="AI27" s="16">
        <v>6.67</v>
      </c>
      <c r="AJ27" s="16">
        <v>10.16</v>
      </c>
      <c r="AK27" s="16">
        <v>14.74</v>
      </c>
      <c r="AL27" s="11">
        <v>1172</v>
      </c>
      <c r="AM27" s="16">
        <v>255</v>
      </c>
      <c r="AN27" s="16">
        <v>513</v>
      </c>
      <c r="AO27" s="16">
        <v>1207</v>
      </c>
      <c r="AP27" s="16">
        <v>888</v>
      </c>
      <c r="AQ27" s="16">
        <v>1359</v>
      </c>
      <c r="AR27" s="16">
        <v>1815</v>
      </c>
      <c r="AS27" s="30">
        <v>255</v>
      </c>
      <c r="AT27" s="30">
        <v>511.79999999999995</v>
      </c>
      <c r="AU27" s="30">
        <v>1175.0999999999999</v>
      </c>
      <c r="AV27" s="30">
        <v>1041.5</v>
      </c>
      <c r="AW27" s="30">
        <v>1343.2</v>
      </c>
      <c r="AX27" s="16">
        <v>17.8</v>
      </c>
      <c r="AY27" s="16">
        <v>54.2</v>
      </c>
      <c r="AZ27" s="16">
        <v>134.4</v>
      </c>
      <c r="BA27" s="16">
        <v>170.7</v>
      </c>
      <c r="BB27" s="16">
        <v>210.2</v>
      </c>
    </row>
    <row r="28" spans="1:54">
      <c r="A28" s="3" t="s">
        <v>660</v>
      </c>
      <c r="B28" s="3" t="s">
        <v>661</v>
      </c>
      <c r="C28" s="3">
        <v>20</v>
      </c>
      <c r="D28" s="3" t="s">
        <v>541</v>
      </c>
      <c r="E28" s="11">
        <v>2362</v>
      </c>
      <c r="F28" s="72">
        <v>17.5</v>
      </c>
      <c r="G28" s="16">
        <v>203.6</v>
      </c>
      <c r="H28" s="16">
        <v>587</v>
      </c>
      <c r="I28" s="16">
        <v>688.7</v>
      </c>
      <c r="J28" s="16">
        <v>778.9</v>
      </c>
      <c r="K28" s="16">
        <v>908.1</v>
      </c>
      <c r="L28" s="16">
        <v>61.1</v>
      </c>
      <c r="M28" s="16">
        <v>602.1</v>
      </c>
      <c r="N28" s="16">
        <v>1039.0999999999999</v>
      </c>
      <c r="O28" s="16">
        <v>365.7</v>
      </c>
      <c r="P28" s="16">
        <v>768</v>
      </c>
      <c r="Q28" s="16">
        <v>61.1</v>
      </c>
      <c r="R28" s="16">
        <v>269.10000000000002</v>
      </c>
      <c r="S28" s="16">
        <v>304</v>
      </c>
      <c r="T28" s="16">
        <v>550.6</v>
      </c>
      <c r="U28" s="16">
        <v>909.9</v>
      </c>
      <c r="V28" s="16">
        <v>81.5</v>
      </c>
      <c r="W28" s="16">
        <v>203.5</v>
      </c>
      <c r="X28" s="16">
        <v>164.4</v>
      </c>
      <c r="Y28" s="16">
        <v>197.3</v>
      </c>
      <c r="Z28" s="16">
        <v>363.5</v>
      </c>
      <c r="AA28" s="16">
        <v>122.2</v>
      </c>
      <c r="AB28" s="16">
        <v>198.5</v>
      </c>
      <c r="AC28" s="16">
        <v>167.5</v>
      </c>
      <c r="AD28" s="16">
        <v>253.5</v>
      </c>
      <c r="AE28" s="16">
        <v>296.10000000000002</v>
      </c>
      <c r="AF28" s="16">
        <v>11.01</v>
      </c>
      <c r="AG28" s="16">
        <v>15.59</v>
      </c>
      <c r="AH28" s="16">
        <v>20.14</v>
      </c>
      <c r="AI28" s="16">
        <v>19.79</v>
      </c>
      <c r="AJ28" s="16">
        <v>23.98</v>
      </c>
      <c r="AK28" s="16">
        <v>24.33</v>
      </c>
      <c r="AL28" s="11">
        <v>3735</v>
      </c>
      <c r="AM28" s="16">
        <v>591</v>
      </c>
      <c r="AN28" s="16">
        <v>1899</v>
      </c>
      <c r="AO28" s="16">
        <v>3107</v>
      </c>
      <c r="AP28" s="16">
        <v>2355</v>
      </c>
      <c r="AQ28" s="16">
        <v>4035</v>
      </c>
      <c r="AR28" s="16">
        <v>3937</v>
      </c>
      <c r="AS28" s="30">
        <v>590.6</v>
      </c>
      <c r="AT28" s="30">
        <v>1897.1999999999998</v>
      </c>
      <c r="AU28" s="30">
        <v>3101.9999999999995</v>
      </c>
      <c r="AV28" s="30">
        <v>2592.6</v>
      </c>
      <c r="AW28" s="30">
        <v>3943.8999999999996</v>
      </c>
      <c r="AX28" s="16">
        <v>61.1</v>
      </c>
      <c r="AY28" s="16">
        <v>37</v>
      </c>
      <c r="AZ28" s="16">
        <v>738.3</v>
      </c>
      <c r="BA28" s="16">
        <v>446.6</v>
      </c>
      <c r="BB28" s="16">
        <v>698.3</v>
      </c>
    </row>
    <row r="29" spans="1:54">
      <c r="A29" s="3" t="s">
        <v>80</v>
      </c>
      <c r="B29" s="3" t="s">
        <v>747</v>
      </c>
      <c r="C29" s="3">
        <v>21</v>
      </c>
      <c r="D29" s="3" t="s">
        <v>759</v>
      </c>
      <c r="E29" s="11">
        <v>856</v>
      </c>
      <c r="F29" s="72">
        <v>11.9</v>
      </c>
      <c r="G29" s="16">
        <v>31.5</v>
      </c>
      <c r="H29" s="16">
        <v>90.2</v>
      </c>
      <c r="I29" s="16">
        <v>120.5</v>
      </c>
      <c r="J29" s="16">
        <v>166.5</v>
      </c>
      <c r="K29" s="16">
        <v>246.9</v>
      </c>
      <c r="L29" s="16">
        <v>27.6</v>
      </c>
      <c r="M29" s="16">
        <v>121.7</v>
      </c>
      <c r="N29" s="16">
        <v>140</v>
      </c>
      <c r="O29" s="16">
        <v>52.7</v>
      </c>
      <c r="P29" s="16">
        <v>33.299999999999997</v>
      </c>
      <c r="Q29" s="16">
        <v>41.4</v>
      </c>
      <c r="R29" s="16">
        <v>87.7</v>
      </c>
      <c r="S29" s="16">
        <v>146.30000000000001</v>
      </c>
      <c r="T29" s="16">
        <v>167.7</v>
      </c>
      <c r="U29" s="16">
        <v>291</v>
      </c>
      <c r="V29" s="16">
        <v>15.5</v>
      </c>
      <c r="W29" s="16">
        <v>31.3</v>
      </c>
      <c r="X29" s="16">
        <v>47.9</v>
      </c>
      <c r="Y29" s="16">
        <v>53.5</v>
      </c>
      <c r="Z29" s="16">
        <v>71.8</v>
      </c>
      <c r="AA29" s="16">
        <v>28.2</v>
      </c>
      <c r="AB29" s="16">
        <v>51</v>
      </c>
      <c r="AC29" s="16">
        <v>84.1</v>
      </c>
      <c r="AD29" s="16">
        <v>65.599999999999994</v>
      </c>
      <c r="AE29" s="16">
        <v>91.4</v>
      </c>
      <c r="AF29" s="16">
        <v>4.79</v>
      </c>
      <c r="AG29" s="16">
        <v>5.68</v>
      </c>
      <c r="AH29" s="16">
        <v>7.14</v>
      </c>
      <c r="AI29" s="16">
        <v>10.220000000000001</v>
      </c>
      <c r="AJ29" s="16">
        <v>9.5</v>
      </c>
      <c r="AK29" s="16">
        <v>9.84</v>
      </c>
      <c r="AL29" s="11">
        <v>906</v>
      </c>
      <c r="AM29" s="16">
        <v>161</v>
      </c>
      <c r="AN29" s="16">
        <v>415</v>
      </c>
      <c r="AO29" s="16">
        <v>619</v>
      </c>
      <c r="AP29" s="16">
        <v>691</v>
      </c>
      <c r="AQ29" s="16">
        <v>860</v>
      </c>
      <c r="AR29" s="16">
        <v>832</v>
      </c>
      <c r="AS29" s="30">
        <v>158</v>
      </c>
      <c r="AT29" s="30">
        <v>412</v>
      </c>
      <c r="AU29" s="30">
        <v>669.5</v>
      </c>
      <c r="AV29" s="30">
        <v>582</v>
      </c>
      <c r="AW29" s="30">
        <v>837.3</v>
      </c>
      <c r="AX29" s="16">
        <v>13.8</v>
      </c>
      <c r="AY29" s="16">
        <v>30.1</v>
      </c>
      <c r="AZ29" s="16">
        <v>130.69999999999999</v>
      </c>
      <c r="BA29" s="16">
        <v>76</v>
      </c>
      <c r="BB29" s="16">
        <v>102.9</v>
      </c>
    </row>
    <row r="30" spans="1:54">
      <c r="A30" s="3" t="s">
        <v>721</v>
      </c>
      <c r="B30" s="3" t="s">
        <v>722</v>
      </c>
      <c r="C30" s="3">
        <v>22</v>
      </c>
      <c r="D30" s="3" t="s">
        <v>664</v>
      </c>
      <c r="E30" s="11">
        <v>393</v>
      </c>
      <c r="F30" s="72">
        <v>12.2</v>
      </c>
      <c r="G30" s="16">
        <v>26</v>
      </c>
      <c r="H30" s="16">
        <v>70.5</v>
      </c>
      <c r="I30" s="16">
        <v>250.5</v>
      </c>
      <c r="J30" s="16">
        <v>253.9</v>
      </c>
      <c r="K30" s="16">
        <v>253.4</v>
      </c>
      <c r="L30" s="16">
        <v>21.7</v>
      </c>
      <c r="M30" s="16">
        <v>139.6</v>
      </c>
      <c r="N30" s="16">
        <v>209.2</v>
      </c>
      <c r="O30" s="16">
        <v>104.3</v>
      </c>
      <c r="P30" s="16">
        <v>96.6</v>
      </c>
      <c r="Q30" s="16">
        <v>34.700000000000003</v>
      </c>
      <c r="R30" s="16">
        <v>60.5</v>
      </c>
      <c r="S30" s="16">
        <v>115.2</v>
      </c>
      <c r="T30" s="16">
        <v>147.5</v>
      </c>
      <c r="U30" s="16">
        <v>293.2</v>
      </c>
      <c r="V30" s="16">
        <v>17.3</v>
      </c>
      <c r="W30" s="16">
        <v>29.2</v>
      </c>
      <c r="X30" s="16">
        <v>49.6</v>
      </c>
      <c r="Y30" s="16">
        <v>96.6</v>
      </c>
      <c r="Z30" s="16">
        <v>108.6</v>
      </c>
      <c r="AA30" s="16">
        <v>19.5</v>
      </c>
      <c r="AB30" s="16">
        <v>60.2</v>
      </c>
      <c r="AC30" s="16">
        <v>60.3</v>
      </c>
      <c r="AD30" s="16">
        <v>71</v>
      </c>
      <c r="AE30" s="16">
        <v>84.3</v>
      </c>
      <c r="AF30" s="16">
        <v>9.52</v>
      </c>
      <c r="AG30" s="16">
        <v>12.56</v>
      </c>
      <c r="AH30" s="16">
        <v>18.399999999999999</v>
      </c>
      <c r="AI30" s="16">
        <v>36.94</v>
      </c>
      <c r="AJ30" s="16">
        <v>29.27</v>
      </c>
      <c r="AK30" s="16">
        <v>30.21</v>
      </c>
      <c r="AL30" s="11">
        <v>940</v>
      </c>
      <c r="AM30" s="16">
        <v>132</v>
      </c>
      <c r="AN30" s="16">
        <v>389</v>
      </c>
      <c r="AO30" s="16">
        <v>749</v>
      </c>
      <c r="AP30" s="16">
        <v>974</v>
      </c>
      <c r="AQ30" s="16">
        <v>930</v>
      </c>
      <c r="AR30" s="16">
        <v>891</v>
      </c>
      <c r="AS30" s="30">
        <v>130</v>
      </c>
      <c r="AT30" s="30">
        <v>384.09999999999997</v>
      </c>
      <c r="AU30" s="30">
        <v>742.40000000000009</v>
      </c>
      <c r="AV30" s="30">
        <v>791.8</v>
      </c>
      <c r="AW30" s="30">
        <v>893.9</v>
      </c>
      <c r="AX30" s="16">
        <v>10.8</v>
      </c>
      <c r="AY30" s="16">
        <v>24.1</v>
      </c>
      <c r="AZ30" s="16">
        <v>57.6</v>
      </c>
      <c r="BA30" s="16">
        <v>118.5</v>
      </c>
      <c r="BB30" s="16">
        <v>57.8</v>
      </c>
    </row>
    <row r="31" spans="1:54">
      <c r="A31" s="3" t="s">
        <v>723</v>
      </c>
      <c r="B31" s="3" t="s">
        <v>724</v>
      </c>
      <c r="C31" s="3">
        <v>23</v>
      </c>
      <c r="D31" s="3" t="s">
        <v>541</v>
      </c>
      <c r="E31" s="11">
        <v>2312</v>
      </c>
      <c r="F31" s="72">
        <v>11.7</v>
      </c>
      <c r="G31" s="17"/>
      <c r="H31" s="16">
        <v>444.5</v>
      </c>
      <c r="I31" s="16">
        <v>665.1</v>
      </c>
      <c r="J31" s="16">
        <v>1135.8</v>
      </c>
      <c r="K31" s="16">
        <v>1267.3</v>
      </c>
      <c r="L31" s="17"/>
      <c r="M31" s="16">
        <v>226.8</v>
      </c>
      <c r="N31" s="16">
        <v>1168</v>
      </c>
      <c r="O31" s="16">
        <v>65.400000000000006</v>
      </c>
      <c r="P31" s="16">
        <v>535.4</v>
      </c>
      <c r="Q31" s="17"/>
      <c r="R31" s="16">
        <v>117.9</v>
      </c>
      <c r="S31" s="16">
        <v>107.5</v>
      </c>
      <c r="T31" s="16">
        <v>685.6</v>
      </c>
      <c r="U31" s="16">
        <v>726.3</v>
      </c>
      <c r="V31" s="17"/>
      <c r="W31" s="16">
        <v>136.1</v>
      </c>
      <c r="X31" s="16">
        <v>568.9</v>
      </c>
      <c r="Y31" s="16">
        <v>365.9</v>
      </c>
      <c r="Z31" s="16">
        <v>386.2</v>
      </c>
      <c r="AA31" s="17"/>
      <c r="AB31" s="16">
        <v>281.2</v>
      </c>
      <c r="AC31" s="16">
        <v>227.2</v>
      </c>
      <c r="AD31" s="16">
        <v>231.5</v>
      </c>
      <c r="AE31" s="16">
        <v>297</v>
      </c>
      <c r="AF31" s="16">
        <v>1.92</v>
      </c>
      <c r="AG31" s="16">
        <v>14.47</v>
      </c>
      <c r="AH31" s="16">
        <v>19.559999999999999</v>
      </c>
      <c r="AI31" s="16">
        <v>17.920000000000002</v>
      </c>
      <c r="AJ31" s="16">
        <v>26.13</v>
      </c>
      <c r="AK31" s="16">
        <v>32.119999999999997</v>
      </c>
      <c r="AL31" s="11">
        <v>3697</v>
      </c>
      <c r="AM31" s="17"/>
      <c r="AN31" s="16">
        <v>1760</v>
      </c>
      <c r="AO31" s="16">
        <v>3889</v>
      </c>
      <c r="AP31" s="16">
        <v>4157</v>
      </c>
      <c r="AQ31" s="16">
        <v>3917</v>
      </c>
      <c r="AR31" s="16">
        <v>4366</v>
      </c>
      <c r="AS31" s="30"/>
      <c r="AT31" s="30">
        <v>1723.6000000000001</v>
      </c>
      <c r="AU31" s="30">
        <v>2844.3999999999996</v>
      </c>
      <c r="AV31" s="30">
        <v>2979.7</v>
      </c>
      <c r="AW31" s="30">
        <v>3734.2000000000003</v>
      </c>
      <c r="AX31" s="17"/>
      <c r="AY31" s="16">
        <v>517.1</v>
      </c>
      <c r="AZ31" s="16">
        <v>107.7</v>
      </c>
      <c r="BA31" s="16">
        <v>495.5</v>
      </c>
      <c r="BB31" s="16">
        <v>522</v>
      </c>
    </row>
    <row r="32" spans="1:54">
      <c r="A32" s="3" t="s">
        <v>725</v>
      </c>
      <c r="B32" s="3" t="s">
        <v>726</v>
      </c>
      <c r="C32" s="3">
        <v>24</v>
      </c>
      <c r="D32" s="3" t="s">
        <v>664</v>
      </c>
      <c r="E32" s="11">
        <v>553</v>
      </c>
      <c r="F32" s="72">
        <v>11.9</v>
      </c>
      <c r="G32" s="16">
        <v>42.5</v>
      </c>
      <c r="H32" s="16">
        <v>61</v>
      </c>
      <c r="I32" s="16">
        <v>88.4</v>
      </c>
      <c r="J32" s="16">
        <v>156.5</v>
      </c>
      <c r="K32" s="16">
        <v>248.8</v>
      </c>
      <c r="L32" s="16">
        <v>25.2</v>
      </c>
      <c r="M32" s="16">
        <v>102.7</v>
      </c>
      <c r="N32" s="16">
        <v>118.8</v>
      </c>
      <c r="O32" s="16">
        <v>48.9</v>
      </c>
      <c r="P32" s="16">
        <v>52.3</v>
      </c>
      <c r="Q32" s="16">
        <v>31.9</v>
      </c>
      <c r="R32" s="16">
        <v>78.099999999999994</v>
      </c>
      <c r="S32" s="16">
        <v>178.7</v>
      </c>
      <c r="T32" s="16">
        <v>132.69999999999999</v>
      </c>
      <c r="U32" s="16">
        <v>213.3</v>
      </c>
      <c r="V32" s="16">
        <v>17.3</v>
      </c>
      <c r="W32" s="16">
        <v>40.4</v>
      </c>
      <c r="X32" s="16">
        <v>76.5</v>
      </c>
      <c r="Y32" s="16">
        <v>68</v>
      </c>
      <c r="Z32" s="16">
        <v>81.599999999999994</v>
      </c>
      <c r="AA32" s="16">
        <v>17.3</v>
      </c>
      <c r="AB32" s="16">
        <v>41.5</v>
      </c>
      <c r="AC32" s="16">
        <v>75.599999999999994</v>
      </c>
      <c r="AD32" s="16">
        <v>50.4</v>
      </c>
      <c r="AE32" s="16">
        <v>69.3</v>
      </c>
      <c r="AF32" s="16">
        <v>6.58</v>
      </c>
      <c r="AG32" s="16">
        <v>7.37</v>
      </c>
      <c r="AH32" s="16">
        <v>9.4700000000000006</v>
      </c>
      <c r="AI32" s="16">
        <v>11.85</v>
      </c>
      <c r="AJ32" s="16">
        <v>12.7</v>
      </c>
      <c r="AK32" s="16">
        <v>15.18</v>
      </c>
      <c r="AL32" s="11">
        <v>775</v>
      </c>
      <c r="AM32" s="16">
        <v>145</v>
      </c>
      <c r="AN32" s="16">
        <v>353</v>
      </c>
      <c r="AO32" s="16">
        <v>626</v>
      </c>
      <c r="AP32" s="16">
        <v>557</v>
      </c>
      <c r="AQ32" s="16">
        <v>789</v>
      </c>
      <c r="AR32" s="16">
        <v>880</v>
      </c>
      <c r="AS32" s="30">
        <v>143.5</v>
      </c>
      <c r="AT32" s="30">
        <v>350.2</v>
      </c>
      <c r="AU32" s="30">
        <v>579.1</v>
      </c>
      <c r="AV32" s="30">
        <v>560.4</v>
      </c>
      <c r="AW32" s="30">
        <v>724.4</v>
      </c>
      <c r="AX32" s="16">
        <v>9.3000000000000007</v>
      </c>
      <c r="AY32" s="16">
        <v>26.5</v>
      </c>
      <c r="AZ32" s="16">
        <v>41.1</v>
      </c>
      <c r="BA32" s="16">
        <v>103.9</v>
      </c>
      <c r="BB32" s="16">
        <v>59.1</v>
      </c>
    </row>
    <row r="33" spans="1:54">
      <c r="E33" s="11"/>
      <c r="F33" s="11"/>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1"/>
      <c r="AM33" s="17"/>
      <c r="AN33" s="17"/>
      <c r="AO33" s="17"/>
      <c r="AP33" s="17"/>
      <c r="AQ33" s="17"/>
      <c r="AR33" s="17"/>
      <c r="AS33" s="30"/>
      <c r="AT33" s="30"/>
      <c r="AU33" s="30"/>
      <c r="AV33" s="30"/>
      <c r="AW33" s="30"/>
      <c r="AX33" s="17"/>
      <c r="AY33" s="17"/>
      <c r="AZ33" s="17"/>
      <c r="BA33" s="17"/>
      <c r="BB33" s="17"/>
    </row>
    <row r="34" spans="1:54">
      <c r="A34" s="3" t="s">
        <v>727</v>
      </c>
      <c r="E34" s="11"/>
      <c r="F34" s="11"/>
      <c r="G34" s="16">
        <v>34.299999999999997</v>
      </c>
      <c r="H34" s="16">
        <v>73.3</v>
      </c>
      <c r="I34" s="16">
        <v>144.4</v>
      </c>
      <c r="J34" s="16">
        <v>170.3</v>
      </c>
      <c r="K34" s="16">
        <v>247.6</v>
      </c>
      <c r="L34" s="16">
        <v>40.1</v>
      </c>
      <c r="M34" s="16">
        <v>121.3</v>
      </c>
      <c r="N34" s="16">
        <v>164.7</v>
      </c>
      <c r="O34" s="16">
        <v>64.599999999999994</v>
      </c>
      <c r="P34" s="16">
        <v>74.8</v>
      </c>
      <c r="Q34" s="16">
        <v>28.7</v>
      </c>
      <c r="R34" s="16">
        <v>76.900000000000006</v>
      </c>
      <c r="S34" s="16">
        <v>158.30000000000001</v>
      </c>
      <c r="T34" s="16">
        <v>158.69999999999999</v>
      </c>
      <c r="U34" s="16">
        <v>305.89999999999998</v>
      </c>
      <c r="V34" s="16">
        <v>26.8</v>
      </c>
      <c r="W34" s="16">
        <v>54</v>
      </c>
      <c r="X34" s="16">
        <v>90.7</v>
      </c>
      <c r="Y34" s="16">
        <v>97.7</v>
      </c>
      <c r="Z34" s="16">
        <v>124.6</v>
      </c>
      <c r="AA34" s="16">
        <v>18</v>
      </c>
      <c r="AB34" s="16">
        <v>43.4</v>
      </c>
      <c r="AC34" s="16">
        <v>66.900000000000006</v>
      </c>
      <c r="AD34" s="16">
        <v>59.5</v>
      </c>
      <c r="AE34" s="16">
        <v>85.9</v>
      </c>
      <c r="AF34" s="16">
        <v>5.31</v>
      </c>
      <c r="AG34" s="16">
        <v>6.37</v>
      </c>
      <c r="AH34" s="16">
        <v>10.37</v>
      </c>
      <c r="AI34" s="16">
        <v>11.26</v>
      </c>
      <c r="AJ34" s="16">
        <v>14.01</v>
      </c>
      <c r="AK34" s="16">
        <v>15.25</v>
      </c>
      <c r="AL34" s="11"/>
      <c r="AM34" s="16">
        <v>169</v>
      </c>
      <c r="AN34" s="16">
        <v>411</v>
      </c>
      <c r="AO34" s="16">
        <v>728</v>
      </c>
      <c r="AP34" s="16">
        <v>631</v>
      </c>
      <c r="AQ34" s="16">
        <v>975</v>
      </c>
      <c r="AR34" s="16">
        <v>993</v>
      </c>
      <c r="AS34" s="30">
        <v>163</v>
      </c>
      <c r="AT34" s="30">
        <v>407.6</v>
      </c>
      <c r="AU34" s="30">
        <v>710.40000000000009</v>
      </c>
      <c r="AV34" s="30">
        <v>640.4</v>
      </c>
      <c r="AW34" s="30">
        <v>937.4</v>
      </c>
      <c r="AX34" s="16">
        <v>15.1</v>
      </c>
      <c r="AY34" s="16">
        <v>38.700000000000003</v>
      </c>
      <c r="AZ34" s="16">
        <v>85.4</v>
      </c>
      <c r="BA34" s="16">
        <v>89.6</v>
      </c>
      <c r="BB34" s="16">
        <v>98.6</v>
      </c>
    </row>
    <row r="35" spans="1:54" ht="187">
      <c r="A35" s="7" t="s">
        <v>728</v>
      </c>
      <c r="B35" s="7"/>
      <c r="C35" s="7"/>
      <c r="D35" s="7"/>
      <c r="E35" s="1" t="s">
        <v>686</v>
      </c>
      <c r="F35" s="1" t="s">
        <v>686</v>
      </c>
      <c r="G35" s="7" t="s">
        <v>967</v>
      </c>
      <c r="H35" s="7" t="s">
        <v>1030</v>
      </c>
      <c r="I35" s="7" t="s">
        <v>939</v>
      </c>
      <c r="J35" s="7" t="s">
        <v>843</v>
      </c>
      <c r="K35" s="7" t="s">
        <v>952</v>
      </c>
      <c r="L35" s="7" t="s">
        <v>967</v>
      </c>
      <c r="M35" s="7" t="s">
        <v>1030</v>
      </c>
      <c r="N35" s="7" t="s">
        <v>939</v>
      </c>
      <c r="O35" s="7" t="s">
        <v>843</v>
      </c>
      <c r="P35" s="7" t="s">
        <v>952</v>
      </c>
      <c r="Q35" s="7" t="s">
        <v>967</v>
      </c>
      <c r="R35" s="7" t="s">
        <v>1030</v>
      </c>
      <c r="S35" s="7" t="s">
        <v>939</v>
      </c>
      <c r="T35" s="7" t="s">
        <v>843</v>
      </c>
      <c r="U35" s="7" t="s">
        <v>2225</v>
      </c>
      <c r="V35" s="7" t="s">
        <v>967</v>
      </c>
      <c r="W35" s="7" t="s">
        <v>1030</v>
      </c>
      <c r="X35" s="7" t="s">
        <v>939</v>
      </c>
      <c r="Y35" s="7" t="s">
        <v>843</v>
      </c>
      <c r="Z35" s="7" t="s">
        <v>952</v>
      </c>
      <c r="AA35" s="7" t="s">
        <v>967</v>
      </c>
      <c r="AB35" s="7" t="s">
        <v>1030</v>
      </c>
      <c r="AC35" s="7" t="s">
        <v>939</v>
      </c>
      <c r="AD35" s="7" t="s">
        <v>843</v>
      </c>
      <c r="AE35" s="7" t="s">
        <v>952</v>
      </c>
      <c r="AF35" s="7" t="s">
        <v>1016</v>
      </c>
      <c r="AG35" s="7" t="s">
        <v>1016</v>
      </c>
      <c r="AH35" s="7" t="s">
        <v>1016</v>
      </c>
      <c r="AI35" s="7" t="s">
        <v>1016</v>
      </c>
      <c r="AJ35" s="7" t="s">
        <v>1016</v>
      </c>
      <c r="AK35" s="7" t="s">
        <v>1016</v>
      </c>
      <c r="AL35" s="1" t="s">
        <v>686</v>
      </c>
      <c r="AM35" s="7" t="s">
        <v>902</v>
      </c>
      <c r="AN35" s="7" t="s">
        <v>902</v>
      </c>
      <c r="AO35" s="7" t="s">
        <v>902</v>
      </c>
      <c r="AP35" s="7" t="s">
        <v>902</v>
      </c>
      <c r="AQ35" s="7" t="s">
        <v>902</v>
      </c>
      <c r="AR35" s="7" t="s">
        <v>902</v>
      </c>
      <c r="AS35" s="1" t="s">
        <v>1180</v>
      </c>
      <c r="AT35" s="1" t="s">
        <v>1223</v>
      </c>
      <c r="AU35" s="1" t="s">
        <v>1286</v>
      </c>
      <c r="AV35" s="1" t="s">
        <v>1275</v>
      </c>
      <c r="AW35" s="1" t="s">
        <v>1026</v>
      </c>
      <c r="AX35" s="7" t="s">
        <v>967</v>
      </c>
      <c r="AY35" s="7" t="s">
        <v>2214</v>
      </c>
      <c r="AZ35" s="7" t="s">
        <v>939</v>
      </c>
      <c r="BA35" s="7" t="s">
        <v>843</v>
      </c>
      <c r="BB35" s="7" t="s">
        <v>952</v>
      </c>
    </row>
    <row r="36" spans="1:54">
      <c r="A36" s="7"/>
      <c r="B36" s="7"/>
      <c r="C36" s="7"/>
      <c r="D36" s="7"/>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sheetData>
  <sortState columnSort="1" ref="E2:CP36">
    <sortCondition ref="E3:CP3"/>
  </sortState>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baseColWidth="10" defaultRowHeight="13" x14ac:dyDescent="0"/>
  <cols>
    <col min="1" max="1" width="15.140625" style="3" customWidth="1"/>
    <col min="2" max="3" width="5.7109375" style="3" customWidth="1"/>
    <col min="4" max="10" width="10.7109375" style="3"/>
  </cols>
  <sheetData>
    <row r="1" spans="1:10">
      <c r="A1" s="137" t="s">
        <v>2404</v>
      </c>
    </row>
    <row r="2" spans="1:10">
      <c r="A2" s="1" t="s">
        <v>614</v>
      </c>
      <c r="B2" s="1"/>
      <c r="C2" s="1"/>
      <c r="D2" s="1"/>
      <c r="E2" s="9" t="s">
        <v>1003</v>
      </c>
      <c r="F2" s="9" t="s">
        <v>1003</v>
      </c>
      <c r="G2" s="9" t="s">
        <v>1003</v>
      </c>
      <c r="H2" s="9" t="s">
        <v>1003</v>
      </c>
      <c r="I2" s="9" t="s">
        <v>1003</v>
      </c>
      <c r="J2" s="9" t="s">
        <v>1003</v>
      </c>
    </row>
    <row r="3" spans="1:10">
      <c r="A3" s="1" t="s">
        <v>518</v>
      </c>
      <c r="B3" s="1"/>
      <c r="C3" s="1"/>
      <c r="D3" s="1"/>
      <c r="E3" s="1" t="s">
        <v>1148</v>
      </c>
      <c r="F3" s="1" t="s">
        <v>1149</v>
      </c>
      <c r="G3" s="1" t="s">
        <v>1006</v>
      </c>
      <c r="H3" s="1" t="s">
        <v>1008</v>
      </c>
      <c r="I3" s="1" t="s">
        <v>1009</v>
      </c>
      <c r="J3" s="1" t="s">
        <v>1010</v>
      </c>
    </row>
    <row r="4" spans="1:10">
      <c r="A4" s="1" t="s">
        <v>736</v>
      </c>
      <c r="B4" s="1"/>
      <c r="C4" s="1"/>
      <c r="D4" s="1"/>
      <c r="E4" s="1" t="s">
        <v>1104</v>
      </c>
      <c r="F4" s="1" t="s">
        <v>1105</v>
      </c>
      <c r="G4" s="1" t="s">
        <v>1105</v>
      </c>
      <c r="H4" s="1"/>
      <c r="I4" s="1" t="s">
        <v>1205</v>
      </c>
      <c r="J4" s="1" t="s">
        <v>1206</v>
      </c>
    </row>
    <row r="5" spans="1:10">
      <c r="A5" s="1" t="s">
        <v>737</v>
      </c>
      <c r="B5" s="1"/>
      <c r="C5" s="1"/>
      <c r="D5" s="1"/>
      <c r="E5" s="1" t="s">
        <v>1212</v>
      </c>
      <c r="F5" s="1" t="s">
        <v>1212</v>
      </c>
      <c r="G5" s="1" t="s">
        <v>1212</v>
      </c>
      <c r="H5" s="1" t="s">
        <v>1212</v>
      </c>
      <c r="I5" s="1" t="s">
        <v>1215</v>
      </c>
      <c r="J5" s="1" t="s">
        <v>1215</v>
      </c>
    </row>
    <row r="6" spans="1:10">
      <c r="A6" s="42" t="s">
        <v>560</v>
      </c>
      <c r="B6" s="42"/>
      <c r="C6" s="42"/>
      <c r="D6" s="42"/>
      <c r="E6" s="42">
        <v>1997</v>
      </c>
      <c r="F6" s="42">
        <v>1997</v>
      </c>
      <c r="G6" s="42">
        <v>1997</v>
      </c>
      <c r="H6" s="42">
        <v>1997</v>
      </c>
      <c r="I6" s="42">
        <v>2000</v>
      </c>
      <c r="J6" s="42">
        <v>2000</v>
      </c>
    </row>
    <row r="7" spans="1:10" ht="77">
      <c r="A7" s="7" t="s">
        <v>3334</v>
      </c>
      <c r="B7" s="1"/>
      <c r="C7" s="1"/>
      <c r="D7" s="1"/>
      <c r="E7" s="1" t="s">
        <v>996</v>
      </c>
      <c r="F7" s="1" t="s">
        <v>997</v>
      </c>
      <c r="G7" s="1" t="s">
        <v>998</v>
      </c>
      <c r="H7" s="1" t="s">
        <v>999</v>
      </c>
      <c r="I7" s="1" t="s">
        <v>1072</v>
      </c>
      <c r="J7" s="1" t="s">
        <v>1073</v>
      </c>
    </row>
    <row r="8" spans="1:10">
      <c r="A8" s="9" t="s">
        <v>572</v>
      </c>
      <c r="B8" s="9" t="s">
        <v>770</v>
      </c>
      <c r="C8" s="9" t="s">
        <v>771</v>
      </c>
      <c r="D8" s="9" t="s">
        <v>772</v>
      </c>
      <c r="E8" s="9" t="s">
        <v>1237</v>
      </c>
      <c r="F8" s="9" t="s">
        <v>1238</v>
      </c>
      <c r="G8" s="9" t="s">
        <v>1239</v>
      </c>
      <c r="H8" s="9" t="s">
        <v>1240</v>
      </c>
      <c r="I8" s="9" t="s">
        <v>1241</v>
      </c>
      <c r="J8" s="9" t="s">
        <v>1242</v>
      </c>
    </row>
    <row r="9" spans="1:10">
      <c r="A9" s="3" t="s">
        <v>850</v>
      </c>
      <c r="B9" s="3" t="s">
        <v>851</v>
      </c>
      <c r="C9" s="3">
        <v>1</v>
      </c>
      <c r="D9" s="3" t="s">
        <v>759</v>
      </c>
      <c r="E9" s="72">
        <v>290.7</v>
      </c>
      <c r="F9" s="72">
        <v>312.8</v>
      </c>
      <c r="G9" s="72">
        <f t="shared" ref="G9:G32" si="0">E9+F9</f>
        <v>603.5</v>
      </c>
      <c r="H9" s="27">
        <v>0.92934782608695643</v>
      </c>
      <c r="I9" s="24">
        <v>2500000</v>
      </c>
      <c r="J9" s="24">
        <v>1300000</v>
      </c>
    </row>
    <row r="10" spans="1:10">
      <c r="A10" s="3" t="s">
        <v>667</v>
      </c>
      <c r="B10" s="3" t="s">
        <v>668</v>
      </c>
      <c r="C10" s="3">
        <v>2</v>
      </c>
      <c r="D10" s="3" t="s">
        <v>759</v>
      </c>
      <c r="E10" s="72">
        <v>914.8</v>
      </c>
      <c r="F10" s="72">
        <v>776</v>
      </c>
      <c r="G10" s="72">
        <f t="shared" si="0"/>
        <v>1690.8</v>
      </c>
      <c r="H10" s="27">
        <v>1.1788659793814433</v>
      </c>
      <c r="I10" s="24"/>
      <c r="J10" s="24">
        <v>100000</v>
      </c>
    </row>
    <row r="11" spans="1:10">
      <c r="A11" s="3" t="s">
        <v>669</v>
      </c>
      <c r="B11" s="3" t="s">
        <v>663</v>
      </c>
      <c r="C11" s="3">
        <v>3</v>
      </c>
      <c r="D11" s="3" t="s">
        <v>664</v>
      </c>
      <c r="E11" s="72">
        <v>430.1</v>
      </c>
      <c r="F11" s="72">
        <v>194.7</v>
      </c>
      <c r="G11" s="72">
        <f t="shared" si="0"/>
        <v>624.79999999999995</v>
      </c>
      <c r="H11" s="27">
        <v>2.2090395480225991</v>
      </c>
      <c r="I11" s="24"/>
      <c r="J11" s="24">
        <v>500000</v>
      </c>
    </row>
    <row r="12" spans="1:10">
      <c r="A12" s="3" t="s">
        <v>665</v>
      </c>
      <c r="B12" s="3" t="s">
        <v>640</v>
      </c>
      <c r="C12" s="3">
        <v>4</v>
      </c>
      <c r="D12" s="3" t="s">
        <v>641</v>
      </c>
      <c r="E12" s="72">
        <v>299.89999999999998</v>
      </c>
      <c r="F12" s="72">
        <v>103.1</v>
      </c>
      <c r="G12" s="72">
        <f t="shared" si="0"/>
        <v>403</v>
      </c>
      <c r="H12" s="27">
        <v>2.9088263821532494</v>
      </c>
      <c r="I12" s="24">
        <v>1500000</v>
      </c>
      <c r="J12" s="24">
        <v>2900000</v>
      </c>
    </row>
    <row r="13" spans="1:10">
      <c r="A13" s="3" t="s">
        <v>539</v>
      </c>
      <c r="B13" s="3" t="s">
        <v>540</v>
      </c>
      <c r="C13" s="3">
        <v>5</v>
      </c>
      <c r="D13" s="3" t="s">
        <v>541</v>
      </c>
      <c r="E13" s="72">
        <v>402.7</v>
      </c>
      <c r="F13" s="72">
        <v>161.19</v>
      </c>
      <c r="G13" s="72">
        <f t="shared" si="0"/>
        <v>563.89</v>
      </c>
      <c r="H13" s="27">
        <v>2.4982939388299523</v>
      </c>
      <c r="I13" s="24">
        <v>400000</v>
      </c>
      <c r="J13" s="24">
        <v>700000</v>
      </c>
    </row>
    <row r="14" spans="1:10">
      <c r="A14" s="3" t="s">
        <v>542</v>
      </c>
      <c r="B14" s="3" t="s">
        <v>543</v>
      </c>
      <c r="C14" s="3">
        <v>6</v>
      </c>
      <c r="D14" s="3" t="s">
        <v>759</v>
      </c>
      <c r="E14" s="72">
        <v>318.89999999999998</v>
      </c>
      <c r="F14" s="72">
        <v>237</v>
      </c>
      <c r="G14" s="72">
        <f t="shared" si="0"/>
        <v>555.9</v>
      </c>
      <c r="H14" s="27">
        <v>1.3455696202531644</v>
      </c>
      <c r="I14" s="24">
        <v>2800000</v>
      </c>
      <c r="J14" s="24">
        <v>2800000</v>
      </c>
    </row>
    <row r="15" spans="1:10">
      <c r="A15" s="3" t="s">
        <v>628</v>
      </c>
      <c r="B15" s="3" t="s">
        <v>629</v>
      </c>
      <c r="C15" s="3">
        <v>7</v>
      </c>
      <c r="D15" s="3" t="s">
        <v>641</v>
      </c>
      <c r="E15" s="72">
        <v>236.8</v>
      </c>
      <c r="F15" s="72">
        <v>153.30000000000001</v>
      </c>
      <c r="G15" s="72">
        <f t="shared" si="0"/>
        <v>390.1</v>
      </c>
      <c r="H15" s="27">
        <v>1.5446836268754076</v>
      </c>
      <c r="I15" s="24">
        <v>400000</v>
      </c>
      <c r="J15" s="24">
        <v>2100000</v>
      </c>
    </row>
    <row r="16" spans="1:10">
      <c r="A16" s="3" t="s">
        <v>630</v>
      </c>
      <c r="B16" s="3" t="s">
        <v>631</v>
      </c>
      <c r="C16" s="3">
        <v>8</v>
      </c>
      <c r="D16" s="3" t="s">
        <v>759</v>
      </c>
      <c r="E16" s="72">
        <v>326.7</v>
      </c>
      <c r="F16" s="72">
        <v>203.3</v>
      </c>
      <c r="G16" s="72">
        <f t="shared" si="0"/>
        <v>530</v>
      </c>
      <c r="H16" s="27">
        <v>1.6069847515986226</v>
      </c>
      <c r="I16" s="24">
        <v>800000</v>
      </c>
      <c r="J16" s="24">
        <v>1700000</v>
      </c>
    </row>
    <row r="17" spans="1:10">
      <c r="A17" s="3" t="s">
        <v>632</v>
      </c>
      <c r="B17" s="3" t="s">
        <v>633</v>
      </c>
      <c r="C17" s="3">
        <v>9</v>
      </c>
      <c r="D17" s="3" t="s">
        <v>641</v>
      </c>
      <c r="E17" s="72">
        <v>284.8</v>
      </c>
      <c r="F17" s="72">
        <v>129.30000000000001</v>
      </c>
      <c r="G17" s="72">
        <f t="shared" si="0"/>
        <v>414.1</v>
      </c>
      <c r="H17" s="27">
        <v>2.2026295436968288</v>
      </c>
      <c r="I17" s="24">
        <v>300000</v>
      </c>
      <c r="J17" s="24">
        <v>1300000</v>
      </c>
    </row>
    <row r="18" spans="1:10">
      <c r="A18" s="3" t="s">
        <v>634</v>
      </c>
      <c r="B18" s="3" t="s">
        <v>715</v>
      </c>
      <c r="C18" s="3">
        <v>10</v>
      </c>
      <c r="D18" s="3" t="s">
        <v>664</v>
      </c>
      <c r="E18" s="72">
        <v>299.2</v>
      </c>
      <c r="F18" s="72">
        <v>129.69999999999999</v>
      </c>
      <c r="G18" s="72">
        <f t="shared" si="0"/>
        <v>428.9</v>
      </c>
      <c r="H18" s="27">
        <v>2.3068619892058599</v>
      </c>
      <c r="I18" s="24">
        <v>2100000</v>
      </c>
      <c r="J18" s="24">
        <v>1500000</v>
      </c>
    </row>
    <row r="19" spans="1:10">
      <c r="A19" s="3" t="s">
        <v>716</v>
      </c>
      <c r="B19" s="3" t="s">
        <v>717</v>
      </c>
      <c r="C19" s="3">
        <v>11</v>
      </c>
      <c r="D19" s="3" t="s">
        <v>541</v>
      </c>
      <c r="E19" s="72">
        <v>474.9</v>
      </c>
      <c r="F19" s="72">
        <v>216.9</v>
      </c>
      <c r="G19" s="72">
        <f t="shared" si="0"/>
        <v>691.8</v>
      </c>
      <c r="H19" s="27">
        <v>2.1894882434301519</v>
      </c>
      <c r="I19" s="24">
        <v>100000</v>
      </c>
      <c r="J19" s="24">
        <v>300000</v>
      </c>
    </row>
    <row r="20" spans="1:10">
      <c r="A20" s="3" t="s">
        <v>718</v>
      </c>
      <c r="B20" s="3" t="s">
        <v>719</v>
      </c>
      <c r="C20" s="3">
        <v>12</v>
      </c>
      <c r="D20" s="3" t="s">
        <v>664</v>
      </c>
      <c r="E20" s="72">
        <v>501.7</v>
      </c>
      <c r="F20" s="72">
        <v>159.69999999999999</v>
      </c>
      <c r="G20" s="72">
        <f t="shared" si="0"/>
        <v>661.4</v>
      </c>
      <c r="H20" s="27">
        <v>3.141515341264872</v>
      </c>
      <c r="I20" s="24">
        <v>300000</v>
      </c>
      <c r="J20" s="24">
        <v>500000</v>
      </c>
    </row>
    <row r="21" spans="1:10">
      <c r="A21" s="3" t="s">
        <v>711</v>
      </c>
      <c r="B21" s="3" t="s">
        <v>712</v>
      </c>
      <c r="C21" s="3">
        <v>13</v>
      </c>
      <c r="D21" s="3" t="s">
        <v>713</v>
      </c>
      <c r="E21" s="72">
        <v>305.2</v>
      </c>
      <c r="F21" s="72">
        <v>260.7</v>
      </c>
      <c r="G21" s="72">
        <f t="shared" si="0"/>
        <v>565.9</v>
      </c>
      <c r="H21" s="27">
        <v>1.1706942846183352</v>
      </c>
      <c r="I21" s="24">
        <v>500000</v>
      </c>
      <c r="J21" s="24">
        <v>1900000</v>
      </c>
    </row>
    <row r="22" spans="1:10">
      <c r="A22" s="3" t="s">
        <v>714</v>
      </c>
      <c r="B22" s="3" t="s">
        <v>530</v>
      </c>
      <c r="C22" s="3">
        <v>14</v>
      </c>
      <c r="D22" s="3" t="s">
        <v>641</v>
      </c>
      <c r="E22" s="72">
        <v>236.5</v>
      </c>
      <c r="F22" s="72">
        <v>136.1</v>
      </c>
      <c r="G22" s="72">
        <f t="shared" si="0"/>
        <v>372.6</v>
      </c>
      <c r="H22" s="27">
        <v>1.7376928728875827</v>
      </c>
      <c r="I22" s="24">
        <v>1600000</v>
      </c>
      <c r="J22" s="24">
        <v>2200000</v>
      </c>
    </row>
    <row r="23" spans="1:10">
      <c r="A23" s="3" t="s">
        <v>620</v>
      </c>
      <c r="B23" s="3" t="s">
        <v>621</v>
      </c>
      <c r="C23" s="3">
        <v>15</v>
      </c>
      <c r="D23" s="3" t="s">
        <v>541</v>
      </c>
      <c r="E23" s="72">
        <v>501.3</v>
      </c>
      <c r="F23" s="72">
        <v>144.1</v>
      </c>
      <c r="G23" s="72">
        <f t="shared" si="0"/>
        <v>645.4</v>
      </c>
      <c r="H23" s="27">
        <v>3.4788341429562806</v>
      </c>
      <c r="I23" s="24"/>
      <c r="J23" s="24">
        <v>1000000</v>
      </c>
    </row>
    <row r="24" spans="1:10">
      <c r="A24" s="3" t="s">
        <v>622</v>
      </c>
      <c r="B24" s="3" t="s">
        <v>925</v>
      </c>
      <c r="C24" s="3">
        <v>16</v>
      </c>
      <c r="D24" s="3" t="s">
        <v>541</v>
      </c>
      <c r="E24" s="72">
        <v>338.5</v>
      </c>
      <c r="F24" s="72">
        <v>206.4</v>
      </c>
      <c r="G24" s="72">
        <f t="shared" si="0"/>
        <v>544.9</v>
      </c>
      <c r="H24" s="27">
        <v>1.6400193798449612</v>
      </c>
      <c r="I24" s="24">
        <v>800000</v>
      </c>
      <c r="J24" s="24">
        <v>1100000</v>
      </c>
    </row>
    <row r="25" spans="1:10">
      <c r="A25" s="3" t="s">
        <v>926</v>
      </c>
      <c r="B25" s="3" t="s">
        <v>927</v>
      </c>
      <c r="C25" s="3">
        <v>17</v>
      </c>
      <c r="D25" s="3" t="s">
        <v>664</v>
      </c>
      <c r="E25" s="72">
        <v>327</v>
      </c>
      <c r="F25" s="72">
        <v>159.9</v>
      </c>
      <c r="G25" s="72">
        <f t="shared" si="0"/>
        <v>486.9</v>
      </c>
      <c r="H25" s="27">
        <v>2.0450281425891181</v>
      </c>
      <c r="I25" s="24"/>
      <c r="J25" s="24">
        <v>2400000</v>
      </c>
    </row>
    <row r="26" spans="1:10">
      <c r="A26" s="3" t="s">
        <v>928</v>
      </c>
      <c r="B26" s="3" t="s">
        <v>929</v>
      </c>
      <c r="C26" s="3">
        <v>18</v>
      </c>
      <c r="D26" s="3" t="s">
        <v>713</v>
      </c>
      <c r="E26" s="72">
        <v>339.2</v>
      </c>
      <c r="F26" s="72">
        <v>213</v>
      </c>
      <c r="G26" s="72">
        <f t="shared" si="0"/>
        <v>552.20000000000005</v>
      </c>
      <c r="H26" s="27">
        <v>1.5924882629107981</v>
      </c>
      <c r="I26" s="24"/>
      <c r="J26" s="24">
        <v>1000000</v>
      </c>
    </row>
    <row r="27" spans="1:10">
      <c r="A27" s="3" t="s">
        <v>841</v>
      </c>
      <c r="B27" s="3" t="s">
        <v>659</v>
      </c>
      <c r="C27" s="3">
        <v>19</v>
      </c>
      <c r="D27" s="3" t="s">
        <v>713</v>
      </c>
      <c r="E27" s="72">
        <v>361</v>
      </c>
      <c r="F27" s="72">
        <v>192.38</v>
      </c>
      <c r="G27" s="72">
        <f t="shared" si="0"/>
        <v>553.38</v>
      </c>
      <c r="H27" s="27">
        <v>1.8764944380912778</v>
      </c>
      <c r="I27" s="24"/>
      <c r="J27" s="24">
        <v>600000</v>
      </c>
    </row>
    <row r="28" spans="1:10">
      <c r="A28" s="3" t="s">
        <v>660</v>
      </c>
      <c r="B28" s="3" t="s">
        <v>661</v>
      </c>
      <c r="C28" s="3">
        <v>20</v>
      </c>
      <c r="D28" s="3" t="s">
        <v>541</v>
      </c>
      <c r="E28" s="72">
        <v>780.4</v>
      </c>
      <c r="F28" s="72">
        <v>184.7</v>
      </c>
      <c r="G28" s="72">
        <f t="shared" si="0"/>
        <v>965.09999999999991</v>
      </c>
      <c r="H28" s="27">
        <v>4.2252301028695181</v>
      </c>
      <c r="I28" s="24"/>
      <c r="J28" s="24">
        <v>300000</v>
      </c>
    </row>
    <row r="29" spans="1:10">
      <c r="A29" s="3" t="s">
        <v>80</v>
      </c>
      <c r="B29" s="3" t="s">
        <v>747</v>
      </c>
      <c r="C29" s="3">
        <v>21</v>
      </c>
      <c r="D29" s="3" t="s">
        <v>759</v>
      </c>
      <c r="E29" s="72">
        <v>296.39999999999998</v>
      </c>
      <c r="F29" s="72">
        <v>259.5</v>
      </c>
      <c r="G29" s="72">
        <f t="shared" si="0"/>
        <v>555.9</v>
      </c>
      <c r="H29" s="27">
        <v>1.1421965317919074</v>
      </c>
      <c r="I29" s="24">
        <v>500000</v>
      </c>
      <c r="J29" s="24">
        <v>3000000</v>
      </c>
    </row>
    <row r="30" spans="1:10">
      <c r="A30" s="3" t="s">
        <v>721</v>
      </c>
      <c r="B30" s="3" t="s">
        <v>722</v>
      </c>
      <c r="C30" s="3">
        <v>22</v>
      </c>
      <c r="D30" s="3" t="s">
        <v>664</v>
      </c>
      <c r="E30" s="72">
        <v>315.8</v>
      </c>
      <c r="F30" s="72">
        <v>96.7</v>
      </c>
      <c r="G30" s="72">
        <f t="shared" si="0"/>
        <v>412.5</v>
      </c>
      <c r="H30" s="27">
        <v>3.2657704239917269</v>
      </c>
      <c r="I30" s="24"/>
      <c r="J30" s="24">
        <v>1600000</v>
      </c>
    </row>
    <row r="31" spans="1:10">
      <c r="A31" s="3" t="s">
        <v>723</v>
      </c>
      <c r="B31" s="3" t="s">
        <v>724</v>
      </c>
      <c r="C31" s="3">
        <v>23</v>
      </c>
      <c r="D31" s="3" t="s">
        <v>541</v>
      </c>
      <c r="E31" s="72">
        <v>833</v>
      </c>
      <c r="F31" s="72">
        <v>312.2</v>
      </c>
      <c r="G31" s="72">
        <f t="shared" si="0"/>
        <v>1145.2</v>
      </c>
      <c r="H31" s="27">
        <v>2.6681614349775784</v>
      </c>
      <c r="I31" s="24"/>
      <c r="J31" s="24">
        <v>200000</v>
      </c>
    </row>
    <row r="32" spans="1:10">
      <c r="A32" s="3" t="s">
        <v>725</v>
      </c>
      <c r="B32" s="3" t="s">
        <v>726</v>
      </c>
      <c r="C32" s="3">
        <v>24</v>
      </c>
      <c r="D32" s="3" t="s">
        <v>664</v>
      </c>
      <c r="E32" s="72">
        <v>292.3</v>
      </c>
      <c r="F32" s="72">
        <v>275.10000000000002</v>
      </c>
      <c r="G32" s="72">
        <f t="shared" si="0"/>
        <v>567.40000000000009</v>
      </c>
      <c r="H32" s="27">
        <v>1.0625227190112685</v>
      </c>
      <c r="I32" s="24">
        <v>200000</v>
      </c>
      <c r="J32" s="24">
        <v>2600000</v>
      </c>
    </row>
    <row r="33" spans="1:10">
      <c r="E33" s="72"/>
      <c r="F33" s="72"/>
      <c r="G33" s="72"/>
      <c r="H33" s="27"/>
      <c r="I33" s="72"/>
      <c r="J33" s="72"/>
    </row>
    <row r="34" spans="1:10">
      <c r="A34" s="3" t="s">
        <v>727</v>
      </c>
      <c r="E34" s="72">
        <v>362.4</v>
      </c>
      <c r="F34" s="72">
        <v>294.39999999999998</v>
      </c>
      <c r="G34" s="72">
        <f>E34+F34</f>
        <v>656.8</v>
      </c>
      <c r="H34" s="27">
        <v>1.2309782608695652</v>
      </c>
      <c r="I34" s="24">
        <v>14800000</v>
      </c>
      <c r="J34" s="24">
        <v>33600000</v>
      </c>
    </row>
    <row r="35" spans="1:10" ht="165">
      <c r="A35" s="7" t="s">
        <v>728</v>
      </c>
      <c r="B35" s="7"/>
      <c r="C35" s="7"/>
      <c r="D35" s="7"/>
      <c r="E35" s="1" t="s">
        <v>1119</v>
      </c>
      <c r="F35" s="1" t="s">
        <v>1119</v>
      </c>
      <c r="G35" s="1" t="s">
        <v>1119</v>
      </c>
      <c r="H35" s="1" t="s">
        <v>1300</v>
      </c>
      <c r="I35" s="1" t="s">
        <v>987</v>
      </c>
      <c r="J35" s="1" t="s">
        <v>987</v>
      </c>
    </row>
    <row r="36" spans="1:10">
      <c r="A36" s="7"/>
      <c r="B36" s="7"/>
      <c r="C36" s="7"/>
      <c r="D36" s="7"/>
      <c r="E36" s="7"/>
      <c r="F36" s="7"/>
      <c r="G36" s="7"/>
      <c r="H36" s="7"/>
      <c r="I36" s="7"/>
      <c r="J36" s="7"/>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6"/>
  <sheetViews>
    <sheetView workbookViewId="0">
      <pane xSplit="7780" topLeftCell="CQ1" activePane="topRight"/>
      <selection activeCell="CE1" sqref="CE1"/>
      <selection pane="topRight" activeCell="CQ9" sqref="CQ9:CQ32"/>
    </sheetView>
  </sheetViews>
  <sheetFormatPr baseColWidth="10" defaultRowHeight="13" x14ac:dyDescent="0"/>
  <cols>
    <col min="1" max="1" width="15.140625" style="3" customWidth="1"/>
    <col min="2" max="3" width="5.7109375" style="3" customWidth="1"/>
    <col min="4" max="4" width="10.7109375" style="3"/>
    <col min="5" max="100" width="10.7109375" style="6"/>
    <col min="101" max="101" width="10.7109375" style="3"/>
    <col min="102" max="107" width="10.7109375" style="6"/>
  </cols>
  <sheetData>
    <row r="1" spans="1:107">
      <c r="A1" s="137" t="s">
        <v>2404</v>
      </c>
    </row>
    <row r="2" spans="1:107">
      <c r="A2" s="1" t="s">
        <v>614</v>
      </c>
      <c r="B2" s="1"/>
      <c r="C2" s="1"/>
      <c r="D2" s="1"/>
      <c r="E2" s="1" t="s">
        <v>946</v>
      </c>
      <c r="F2" s="1" t="s">
        <v>946</v>
      </c>
      <c r="G2" s="1" t="s">
        <v>946</v>
      </c>
      <c r="H2" s="1" t="s">
        <v>946</v>
      </c>
      <c r="I2" s="1" t="s">
        <v>946</v>
      </c>
      <c r="J2" s="1" t="s">
        <v>946</v>
      </c>
      <c r="K2" s="1" t="s">
        <v>946</v>
      </c>
      <c r="L2" s="1" t="s">
        <v>946</v>
      </c>
      <c r="M2" s="1" t="s">
        <v>946</v>
      </c>
      <c r="N2" s="1" t="s">
        <v>946</v>
      </c>
      <c r="O2" s="1" t="s">
        <v>946</v>
      </c>
      <c r="P2" s="1" t="s">
        <v>946</v>
      </c>
      <c r="Q2" s="1" t="s">
        <v>946</v>
      </c>
      <c r="R2" s="1" t="s">
        <v>946</v>
      </c>
      <c r="S2" s="1" t="s">
        <v>946</v>
      </c>
      <c r="T2" s="1" t="s">
        <v>946</v>
      </c>
      <c r="U2" s="1" t="s">
        <v>946</v>
      </c>
      <c r="V2" s="1" t="s">
        <v>946</v>
      </c>
      <c r="W2" s="1" t="s">
        <v>946</v>
      </c>
      <c r="X2" s="1" t="s">
        <v>946</v>
      </c>
      <c r="Y2" s="1" t="s">
        <v>946</v>
      </c>
      <c r="Z2" s="1" t="s">
        <v>946</v>
      </c>
      <c r="AA2" s="1" t="s">
        <v>946</v>
      </c>
      <c r="AB2" s="1" t="s">
        <v>946</v>
      </c>
      <c r="AC2" s="1" t="s">
        <v>946</v>
      </c>
      <c r="AD2" s="1" t="s">
        <v>946</v>
      </c>
      <c r="AE2" s="1" t="s">
        <v>946</v>
      </c>
      <c r="AF2" s="1" t="s">
        <v>946</v>
      </c>
      <c r="AG2" s="1" t="s">
        <v>946</v>
      </c>
      <c r="AH2" s="1" t="s">
        <v>946</v>
      </c>
      <c r="AI2" s="1" t="s">
        <v>946</v>
      </c>
      <c r="AJ2" s="1" t="s">
        <v>946</v>
      </c>
      <c r="AK2" s="1" t="s">
        <v>946</v>
      </c>
      <c r="AL2" s="1" t="s">
        <v>946</v>
      </c>
      <c r="AM2" s="1" t="s">
        <v>946</v>
      </c>
      <c r="AN2" s="1" t="s">
        <v>946</v>
      </c>
      <c r="AO2" s="1" t="s">
        <v>946</v>
      </c>
      <c r="AP2" s="1" t="s">
        <v>946</v>
      </c>
      <c r="AQ2" s="1" t="s">
        <v>946</v>
      </c>
      <c r="AR2" s="1" t="s">
        <v>946</v>
      </c>
      <c r="AS2" s="1" t="s">
        <v>946</v>
      </c>
      <c r="AT2" s="1" t="s">
        <v>946</v>
      </c>
      <c r="AU2" s="1" t="s">
        <v>946</v>
      </c>
      <c r="AV2" s="1" t="s">
        <v>946</v>
      </c>
      <c r="AW2" s="1" t="s">
        <v>946</v>
      </c>
      <c r="AX2" s="1" t="s">
        <v>946</v>
      </c>
      <c r="AY2" s="1" t="s">
        <v>946</v>
      </c>
      <c r="AZ2" s="1" t="s">
        <v>946</v>
      </c>
      <c r="BA2" s="1" t="s">
        <v>946</v>
      </c>
      <c r="BB2" s="1" t="s">
        <v>946</v>
      </c>
      <c r="BC2" s="1" t="s">
        <v>946</v>
      </c>
      <c r="BD2" s="1" t="s">
        <v>946</v>
      </c>
      <c r="BE2" s="1" t="s">
        <v>946</v>
      </c>
      <c r="BF2" s="1" t="s">
        <v>946</v>
      </c>
      <c r="BG2" s="1" t="s">
        <v>946</v>
      </c>
      <c r="BH2" s="1" t="s">
        <v>946</v>
      </c>
      <c r="BI2" s="1" t="s">
        <v>946</v>
      </c>
      <c r="BJ2" s="1" t="s">
        <v>946</v>
      </c>
      <c r="BK2" s="1" t="s">
        <v>946</v>
      </c>
      <c r="BL2" s="1" t="s">
        <v>946</v>
      </c>
      <c r="BM2" s="1" t="s">
        <v>946</v>
      </c>
      <c r="BN2" s="1" t="s">
        <v>946</v>
      </c>
      <c r="BO2" s="1" t="s">
        <v>946</v>
      </c>
      <c r="BP2" s="1" t="s">
        <v>946</v>
      </c>
      <c r="BQ2" s="1" t="s">
        <v>946</v>
      </c>
      <c r="BR2" s="1" t="s">
        <v>946</v>
      </c>
      <c r="BS2" s="1" t="s">
        <v>946</v>
      </c>
      <c r="BT2" s="1" t="s">
        <v>946</v>
      </c>
      <c r="BU2" s="1" t="s">
        <v>946</v>
      </c>
      <c r="BV2" s="1" t="s">
        <v>946</v>
      </c>
      <c r="BW2" s="1" t="s">
        <v>946</v>
      </c>
      <c r="BX2" s="1" t="s">
        <v>946</v>
      </c>
      <c r="BY2" s="1" t="s">
        <v>946</v>
      </c>
      <c r="BZ2" s="1" t="s">
        <v>946</v>
      </c>
      <c r="CA2" s="1" t="s">
        <v>946</v>
      </c>
      <c r="CB2" s="1" t="s">
        <v>946</v>
      </c>
      <c r="CC2" s="1" t="s">
        <v>946</v>
      </c>
      <c r="CD2" s="1" t="s">
        <v>946</v>
      </c>
      <c r="CE2" s="1" t="s">
        <v>946</v>
      </c>
      <c r="CF2" s="1" t="s">
        <v>946</v>
      </c>
      <c r="CG2" s="1" t="s">
        <v>946</v>
      </c>
      <c r="CH2" s="1" t="s">
        <v>946</v>
      </c>
      <c r="CI2" s="1" t="s">
        <v>946</v>
      </c>
      <c r="CJ2" s="1" t="s">
        <v>946</v>
      </c>
      <c r="CK2" s="1" t="s">
        <v>946</v>
      </c>
      <c r="CL2" s="1" t="s">
        <v>946</v>
      </c>
      <c r="CM2" s="1" t="s">
        <v>946</v>
      </c>
      <c r="CN2" s="1" t="s">
        <v>946</v>
      </c>
      <c r="CO2" s="1" t="s">
        <v>946</v>
      </c>
      <c r="CP2" s="1" t="s">
        <v>946</v>
      </c>
      <c r="CQ2" s="1" t="s">
        <v>946</v>
      </c>
      <c r="CR2" s="1" t="s">
        <v>946</v>
      </c>
      <c r="CS2" s="1" t="s">
        <v>946</v>
      </c>
      <c r="CT2" s="1" t="s">
        <v>946</v>
      </c>
      <c r="CU2" s="1" t="s">
        <v>946</v>
      </c>
      <c r="CV2" s="1" t="s">
        <v>946</v>
      </c>
      <c r="CW2" s="1" t="s">
        <v>946</v>
      </c>
      <c r="CX2" s="1" t="s">
        <v>946</v>
      </c>
      <c r="CY2" s="1" t="s">
        <v>946</v>
      </c>
      <c r="CZ2" s="1" t="s">
        <v>946</v>
      </c>
      <c r="DA2" s="1" t="s">
        <v>946</v>
      </c>
      <c r="DB2" s="1" t="s">
        <v>946</v>
      </c>
      <c r="DC2" s="1" t="s">
        <v>1261</v>
      </c>
    </row>
    <row r="3" spans="1:107" ht="14" customHeight="1">
      <c r="A3" s="1" t="s">
        <v>518</v>
      </c>
      <c r="B3" s="1"/>
      <c r="C3" s="1"/>
      <c r="D3" s="1"/>
      <c r="E3" s="1" t="s">
        <v>2302</v>
      </c>
      <c r="F3" s="1" t="s">
        <v>2302</v>
      </c>
      <c r="G3" s="1" t="s">
        <v>2302</v>
      </c>
      <c r="H3" s="1" t="s">
        <v>2302</v>
      </c>
      <c r="I3" s="1" t="s">
        <v>2302</v>
      </c>
      <c r="J3" s="1" t="s">
        <v>2302</v>
      </c>
      <c r="K3" s="1" t="s">
        <v>2302</v>
      </c>
      <c r="L3" s="1" t="s">
        <v>2302</v>
      </c>
      <c r="M3" s="1" t="s">
        <v>2302</v>
      </c>
      <c r="N3" s="1" t="s">
        <v>2302</v>
      </c>
      <c r="O3" s="1" t="s">
        <v>2302</v>
      </c>
      <c r="P3" s="1" t="s">
        <v>2302</v>
      </c>
      <c r="Q3" s="1" t="s">
        <v>2302</v>
      </c>
      <c r="R3" s="1" t="s">
        <v>2302</v>
      </c>
      <c r="S3" s="1" t="s">
        <v>2302</v>
      </c>
      <c r="T3" s="1" t="s">
        <v>2302</v>
      </c>
      <c r="U3" s="1" t="s">
        <v>2302</v>
      </c>
      <c r="V3" s="1" t="s">
        <v>2302</v>
      </c>
      <c r="W3" s="1" t="s">
        <v>2302</v>
      </c>
      <c r="X3" s="1" t="s">
        <v>2302</v>
      </c>
      <c r="Y3" s="1" t="s">
        <v>2302</v>
      </c>
      <c r="Z3" s="1" t="s">
        <v>2302</v>
      </c>
      <c r="AA3" s="1" t="s">
        <v>2302</v>
      </c>
      <c r="AB3" s="1" t="s">
        <v>2302</v>
      </c>
      <c r="AC3" s="1" t="s">
        <v>2302</v>
      </c>
      <c r="AD3" s="1" t="s">
        <v>2302</v>
      </c>
      <c r="AE3" s="1" t="s">
        <v>2302</v>
      </c>
      <c r="AF3" s="1" t="s">
        <v>2302</v>
      </c>
      <c r="AG3" s="1" t="s">
        <v>2302</v>
      </c>
      <c r="AH3" s="1" t="s">
        <v>2302</v>
      </c>
      <c r="AI3" s="1" t="s">
        <v>1765</v>
      </c>
      <c r="AJ3" s="1" t="s">
        <v>1765</v>
      </c>
      <c r="AK3" s="1" t="s">
        <v>1765</v>
      </c>
      <c r="AL3" s="1" t="s">
        <v>1765</v>
      </c>
      <c r="AM3" s="1" t="s">
        <v>1765</v>
      </c>
      <c r="AN3" s="1" t="s">
        <v>1765</v>
      </c>
      <c r="AO3" s="1" t="s">
        <v>1765</v>
      </c>
      <c r="AP3" s="1" t="s">
        <v>1765</v>
      </c>
      <c r="AQ3" s="1" t="s">
        <v>1765</v>
      </c>
      <c r="AR3" s="1" t="s">
        <v>1765</v>
      </c>
      <c r="AS3" s="1" t="s">
        <v>1765</v>
      </c>
      <c r="AT3" s="1" t="s">
        <v>1765</v>
      </c>
      <c r="AU3" s="1" t="s">
        <v>1765</v>
      </c>
      <c r="AV3" s="1" t="s">
        <v>1765</v>
      </c>
      <c r="AW3" s="1" t="s">
        <v>1765</v>
      </c>
      <c r="AX3" s="1" t="s">
        <v>1765</v>
      </c>
      <c r="AY3" s="1" t="s">
        <v>1765</v>
      </c>
      <c r="AZ3" s="1" t="s">
        <v>1765</v>
      </c>
      <c r="BA3" s="1" t="s">
        <v>1765</v>
      </c>
      <c r="BB3" s="1" t="s">
        <v>1765</v>
      </c>
      <c r="BC3" s="1" t="s">
        <v>1765</v>
      </c>
      <c r="BD3" s="1" t="s">
        <v>1765</v>
      </c>
      <c r="BE3" s="1" t="s">
        <v>1765</v>
      </c>
      <c r="BF3" s="1" t="s">
        <v>1765</v>
      </c>
      <c r="BG3" s="1" t="s">
        <v>1765</v>
      </c>
      <c r="BH3" s="1" t="s">
        <v>1765</v>
      </c>
      <c r="BI3" s="1" t="s">
        <v>1765</v>
      </c>
      <c r="BJ3" s="1" t="s">
        <v>1765</v>
      </c>
      <c r="BK3" s="1" t="s">
        <v>1765</v>
      </c>
      <c r="BL3" s="1" t="s">
        <v>1765</v>
      </c>
      <c r="BM3" s="1" t="s">
        <v>487</v>
      </c>
      <c r="BN3" s="1" t="s">
        <v>487</v>
      </c>
      <c r="BO3" s="1" t="s">
        <v>487</v>
      </c>
      <c r="BP3" s="1" t="s">
        <v>487</v>
      </c>
      <c r="BQ3" s="1" t="s">
        <v>487</v>
      </c>
      <c r="BR3" s="1" t="s">
        <v>487</v>
      </c>
      <c r="BS3" s="1" t="s">
        <v>487</v>
      </c>
      <c r="BT3" s="1" t="s">
        <v>487</v>
      </c>
      <c r="BU3" s="1" t="s">
        <v>487</v>
      </c>
      <c r="BV3" s="1" t="s">
        <v>487</v>
      </c>
      <c r="BW3" s="1" t="s">
        <v>487</v>
      </c>
      <c r="BX3" s="1" t="s">
        <v>487</v>
      </c>
      <c r="BY3" s="1" t="s">
        <v>487</v>
      </c>
      <c r="BZ3" s="1" t="s">
        <v>487</v>
      </c>
      <c r="CA3" s="1" t="s">
        <v>487</v>
      </c>
      <c r="CB3" s="1" t="s">
        <v>487</v>
      </c>
      <c r="CC3" s="1" t="s">
        <v>487</v>
      </c>
      <c r="CD3" s="1" t="s">
        <v>487</v>
      </c>
      <c r="CE3" s="1" t="s">
        <v>487</v>
      </c>
      <c r="CF3" s="1" t="s">
        <v>487</v>
      </c>
      <c r="CG3" s="1" t="s">
        <v>487</v>
      </c>
      <c r="CH3" s="1" t="s">
        <v>487</v>
      </c>
      <c r="CI3" s="1" t="s">
        <v>487</v>
      </c>
      <c r="CJ3" s="1" t="s">
        <v>487</v>
      </c>
      <c r="CK3" s="1" t="s">
        <v>487</v>
      </c>
      <c r="CL3" s="1" t="s">
        <v>487</v>
      </c>
      <c r="CM3" s="1" t="s">
        <v>487</v>
      </c>
      <c r="CN3" s="1" t="s">
        <v>487</v>
      </c>
      <c r="CO3" s="1" t="s">
        <v>487</v>
      </c>
      <c r="CP3" s="1" t="s">
        <v>487</v>
      </c>
      <c r="CQ3" s="1" t="s">
        <v>487</v>
      </c>
      <c r="CR3" s="1" t="s">
        <v>487</v>
      </c>
      <c r="CS3" s="1" t="s">
        <v>487</v>
      </c>
      <c r="CT3" s="1" t="s">
        <v>487</v>
      </c>
      <c r="CU3" s="1" t="s">
        <v>487</v>
      </c>
      <c r="CV3" s="1" t="s">
        <v>487</v>
      </c>
      <c r="CW3" s="1" t="s">
        <v>1043</v>
      </c>
      <c r="CX3" s="1" t="s">
        <v>408</v>
      </c>
      <c r="CY3" s="1" t="s">
        <v>408</v>
      </c>
      <c r="CZ3" s="1" t="s">
        <v>408</v>
      </c>
      <c r="DA3" s="1" t="s">
        <v>408</v>
      </c>
      <c r="DB3" s="1" t="s">
        <v>408</v>
      </c>
      <c r="DC3" s="1" t="s">
        <v>1292</v>
      </c>
    </row>
    <row r="4" spans="1:107">
      <c r="A4" s="1" t="s">
        <v>736</v>
      </c>
      <c r="B4" s="1"/>
      <c r="C4" s="1"/>
      <c r="D4" s="1"/>
      <c r="E4"/>
      <c r="F4"/>
      <c r="G4"/>
      <c r="H4"/>
      <c r="I4"/>
      <c r="J4"/>
      <c r="K4"/>
      <c r="L4"/>
      <c r="M4"/>
      <c r="N4"/>
      <c r="O4"/>
      <c r="P4"/>
      <c r="Q4"/>
      <c r="R4"/>
      <c r="S4"/>
      <c r="T4"/>
      <c r="U4" s="1"/>
      <c r="V4" s="1"/>
      <c r="W4" s="1"/>
      <c r="X4" s="1"/>
      <c r="Y4" s="1"/>
      <c r="Z4" s="1"/>
      <c r="AA4" s="1"/>
      <c r="AB4" s="1"/>
      <c r="AC4" s="1"/>
      <c r="AD4" s="1"/>
      <c r="AE4" s="1"/>
      <c r="AF4" s="1"/>
      <c r="AG4" s="1"/>
      <c r="AH4" s="1"/>
      <c r="AI4"/>
      <c r="AJ4"/>
      <c r="AK4"/>
      <c r="AL4"/>
      <c r="AM4"/>
      <c r="AN4"/>
      <c r="AO4"/>
      <c r="AP4"/>
      <c r="AQ4"/>
      <c r="AR4"/>
      <c r="AS4"/>
      <c r="AT4"/>
      <c r="AU4"/>
      <c r="AV4"/>
      <c r="AW4"/>
      <c r="AX4"/>
      <c r="AY4" s="1"/>
      <c r="AZ4" s="1"/>
      <c r="BA4" s="1"/>
      <c r="BB4" s="1"/>
      <c r="BC4" s="1"/>
      <c r="BD4" s="1"/>
      <c r="BE4" s="1"/>
      <c r="BF4" s="1"/>
      <c r="BG4" s="1"/>
      <c r="BH4" s="1"/>
      <c r="BI4" s="1"/>
      <c r="BJ4" s="1"/>
      <c r="BK4" s="1"/>
      <c r="BL4" s="1"/>
      <c r="BM4"/>
      <c r="BN4"/>
      <c r="BO4"/>
      <c r="BP4"/>
      <c r="BQ4"/>
      <c r="BR4"/>
      <c r="BS4"/>
      <c r="BT4"/>
      <c r="BU4"/>
      <c r="BV4"/>
      <c r="BW4"/>
      <c r="BX4"/>
      <c r="BY4"/>
      <c r="BZ4"/>
      <c r="CA4"/>
      <c r="CB4"/>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t="s">
        <v>737</v>
      </c>
      <c r="B5" s="1"/>
      <c r="C5" s="1"/>
      <c r="D5" s="1"/>
      <c r="E5" s="15" t="s">
        <v>1750</v>
      </c>
      <c r="F5" s="15" t="s">
        <v>1750</v>
      </c>
      <c r="G5" s="15" t="s">
        <v>1750</v>
      </c>
      <c r="H5" s="15" t="s">
        <v>1750</v>
      </c>
      <c r="I5" s="15" t="s">
        <v>1750</v>
      </c>
      <c r="J5" s="15" t="s">
        <v>1750</v>
      </c>
      <c r="K5" s="15" t="s">
        <v>1750</v>
      </c>
      <c r="L5" s="15" t="s">
        <v>1750</v>
      </c>
      <c r="M5" s="15" t="s">
        <v>1750</v>
      </c>
      <c r="N5" s="15" t="s">
        <v>1750</v>
      </c>
      <c r="O5" s="15" t="s">
        <v>1750</v>
      </c>
      <c r="P5" s="15" t="s">
        <v>1750</v>
      </c>
      <c r="Q5" s="15" t="s">
        <v>1750</v>
      </c>
      <c r="R5" s="15" t="s">
        <v>1750</v>
      </c>
      <c r="S5" s="15" t="s">
        <v>1750</v>
      </c>
      <c r="T5" s="15" t="s">
        <v>1750</v>
      </c>
      <c r="U5" s="15" t="s">
        <v>1750</v>
      </c>
      <c r="V5" s="15" t="s">
        <v>1750</v>
      </c>
      <c r="W5" s="15" t="s">
        <v>1750</v>
      </c>
      <c r="X5" s="15" t="s">
        <v>1750</v>
      </c>
      <c r="Y5" s="15" t="s">
        <v>1750</v>
      </c>
      <c r="Z5" s="15" t="s">
        <v>1750</v>
      </c>
      <c r="AA5" s="15" t="s">
        <v>1750</v>
      </c>
      <c r="AB5" s="15" t="s">
        <v>1750</v>
      </c>
      <c r="AC5" s="15" t="s">
        <v>1750</v>
      </c>
      <c r="AD5" s="15" t="s">
        <v>1750</v>
      </c>
      <c r="AE5" s="15" t="s">
        <v>1750</v>
      </c>
      <c r="AF5" s="15" t="s">
        <v>1750</v>
      </c>
      <c r="AG5" s="15" t="s">
        <v>1750</v>
      </c>
      <c r="AH5" s="15" t="s">
        <v>1750</v>
      </c>
      <c r="AI5" s="15" t="s">
        <v>1750</v>
      </c>
      <c r="AJ5" s="15" t="s">
        <v>1750</v>
      </c>
      <c r="AK5" s="15" t="s">
        <v>1750</v>
      </c>
      <c r="AL5" s="15" t="s">
        <v>1750</v>
      </c>
      <c r="AM5" s="15" t="s">
        <v>1750</v>
      </c>
      <c r="AN5" s="15" t="s">
        <v>1750</v>
      </c>
      <c r="AO5" s="15" t="s">
        <v>1750</v>
      </c>
      <c r="AP5" s="15" t="s">
        <v>1750</v>
      </c>
      <c r="AQ5" s="15" t="s">
        <v>1750</v>
      </c>
      <c r="AR5" s="15" t="s">
        <v>1750</v>
      </c>
      <c r="AS5" s="15" t="s">
        <v>1750</v>
      </c>
      <c r="AT5" s="15" t="s">
        <v>1750</v>
      </c>
      <c r="AU5" s="15" t="s">
        <v>1750</v>
      </c>
      <c r="AV5" s="15" t="s">
        <v>1750</v>
      </c>
      <c r="AW5" s="15" t="s">
        <v>1750</v>
      </c>
      <c r="AX5" s="15" t="s">
        <v>1750</v>
      </c>
      <c r="AY5" s="15" t="s">
        <v>1750</v>
      </c>
      <c r="AZ5" s="15" t="s">
        <v>1750</v>
      </c>
      <c r="BA5" s="15" t="s">
        <v>1750</v>
      </c>
      <c r="BB5" s="15" t="s">
        <v>1750</v>
      </c>
      <c r="BC5" s="15" t="s">
        <v>1750</v>
      </c>
      <c r="BD5" s="15" t="s">
        <v>1750</v>
      </c>
      <c r="BE5" s="15" t="s">
        <v>1750</v>
      </c>
      <c r="BF5" s="15" t="s">
        <v>1750</v>
      </c>
      <c r="BG5" s="15" t="s">
        <v>1750</v>
      </c>
      <c r="BH5" s="15" t="s">
        <v>1750</v>
      </c>
      <c r="BI5" s="15" t="s">
        <v>1750</v>
      </c>
      <c r="BJ5" s="15" t="s">
        <v>1750</v>
      </c>
      <c r="BK5" s="15" t="s">
        <v>1750</v>
      </c>
      <c r="BL5" s="15" t="s">
        <v>1750</v>
      </c>
      <c r="BM5" s="15" t="s">
        <v>1750</v>
      </c>
      <c r="BN5" s="15" t="s">
        <v>1750</v>
      </c>
      <c r="BO5" s="15" t="s">
        <v>1750</v>
      </c>
      <c r="BP5" s="15" t="s">
        <v>1750</v>
      </c>
      <c r="BQ5" s="15" t="s">
        <v>1750</v>
      </c>
      <c r="BR5" s="15" t="s">
        <v>1750</v>
      </c>
      <c r="BS5" s="15" t="s">
        <v>1750</v>
      </c>
      <c r="BT5" s="15" t="s">
        <v>1750</v>
      </c>
      <c r="BU5" s="15" t="s">
        <v>1750</v>
      </c>
      <c r="BV5" s="15" t="s">
        <v>1750</v>
      </c>
      <c r="BW5" s="15" t="s">
        <v>1750</v>
      </c>
      <c r="BX5" s="15" t="s">
        <v>1750</v>
      </c>
      <c r="BY5" s="15" t="s">
        <v>1750</v>
      </c>
      <c r="BZ5" s="15" t="s">
        <v>1750</v>
      </c>
      <c r="CA5" s="15" t="s">
        <v>1750</v>
      </c>
      <c r="CB5" s="15" t="s">
        <v>1750</v>
      </c>
      <c r="CC5" s="15" t="s">
        <v>1750</v>
      </c>
      <c r="CD5" s="15" t="s">
        <v>1750</v>
      </c>
      <c r="CE5" s="15" t="s">
        <v>1750</v>
      </c>
      <c r="CF5" s="15" t="s">
        <v>1750</v>
      </c>
      <c r="CG5" s="15" t="s">
        <v>1750</v>
      </c>
      <c r="CH5" s="15" t="s">
        <v>1750</v>
      </c>
      <c r="CI5" s="15" t="s">
        <v>1750</v>
      </c>
      <c r="CJ5" s="15" t="s">
        <v>1750</v>
      </c>
      <c r="CK5" s="15" t="s">
        <v>1750</v>
      </c>
      <c r="CL5" s="15" t="s">
        <v>1750</v>
      </c>
      <c r="CM5" s="15" t="s">
        <v>1750</v>
      </c>
      <c r="CN5" s="15" t="s">
        <v>1750</v>
      </c>
      <c r="CO5" s="15" t="s">
        <v>1750</v>
      </c>
      <c r="CP5" s="15" t="s">
        <v>1750</v>
      </c>
      <c r="CQ5" s="15" t="s">
        <v>1750</v>
      </c>
      <c r="CR5" s="1" t="s">
        <v>488</v>
      </c>
      <c r="CS5" s="1" t="s">
        <v>488</v>
      </c>
      <c r="CT5" s="1" t="s">
        <v>488</v>
      </c>
      <c r="CU5" s="1" t="s">
        <v>488</v>
      </c>
      <c r="CV5" s="1" t="s">
        <v>488</v>
      </c>
      <c r="CW5" s="1" t="s">
        <v>1216</v>
      </c>
      <c r="CX5" s="1" t="s">
        <v>488</v>
      </c>
      <c r="CY5" s="1" t="s">
        <v>488</v>
      </c>
      <c r="CZ5" s="1" t="s">
        <v>488</v>
      </c>
      <c r="DA5" s="1" t="s">
        <v>488</v>
      </c>
      <c r="DB5" s="1" t="s">
        <v>488</v>
      </c>
      <c r="DC5" s="1" t="s">
        <v>1293</v>
      </c>
    </row>
    <row r="6" spans="1:107">
      <c r="A6" s="42" t="s">
        <v>560</v>
      </c>
      <c r="B6" s="42"/>
      <c r="C6" s="42"/>
      <c r="D6" s="42"/>
      <c r="E6" s="33">
        <v>1984</v>
      </c>
      <c r="F6" s="33">
        <v>1985</v>
      </c>
      <c r="G6" s="33">
        <v>1986</v>
      </c>
      <c r="H6" s="33">
        <v>1987</v>
      </c>
      <c r="I6" s="33">
        <v>1988</v>
      </c>
      <c r="J6" s="33">
        <v>1989</v>
      </c>
      <c r="K6" s="33">
        <v>1990</v>
      </c>
      <c r="L6" s="33">
        <v>1991</v>
      </c>
      <c r="M6" s="33">
        <v>1992</v>
      </c>
      <c r="N6" s="33">
        <v>1993</v>
      </c>
      <c r="O6" s="33">
        <v>1994</v>
      </c>
      <c r="P6" s="33">
        <v>1995</v>
      </c>
      <c r="Q6" s="33">
        <v>1996</v>
      </c>
      <c r="R6" s="33">
        <v>1997</v>
      </c>
      <c r="S6" s="33">
        <v>1998</v>
      </c>
      <c r="T6" s="33">
        <v>1999</v>
      </c>
      <c r="U6" s="42" t="s">
        <v>270</v>
      </c>
      <c r="V6" s="42" t="s">
        <v>261</v>
      </c>
      <c r="W6" s="42" t="s">
        <v>131</v>
      </c>
      <c r="X6" s="42" t="s">
        <v>203</v>
      </c>
      <c r="Y6" s="42" t="s">
        <v>6</v>
      </c>
      <c r="Z6" s="42" t="s">
        <v>1638</v>
      </c>
      <c r="AA6" s="42" t="s">
        <v>1598</v>
      </c>
      <c r="AB6" s="42" t="s">
        <v>195</v>
      </c>
      <c r="AC6" s="42" t="s">
        <v>1600</v>
      </c>
      <c r="AD6" s="42" t="s">
        <v>130</v>
      </c>
      <c r="AE6" s="42" t="s">
        <v>1826</v>
      </c>
      <c r="AF6" s="42" t="s">
        <v>1812</v>
      </c>
      <c r="AG6" s="42" t="s">
        <v>1869</v>
      </c>
      <c r="AH6" s="42" t="s">
        <v>1927</v>
      </c>
      <c r="AI6" s="33">
        <v>1984</v>
      </c>
      <c r="AJ6" s="33">
        <v>1985</v>
      </c>
      <c r="AK6" s="33">
        <v>1986</v>
      </c>
      <c r="AL6" s="33">
        <v>1987</v>
      </c>
      <c r="AM6" s="33">
        <v>1988</v>
      </c>
      <c r="AN6" s="33">
        <v>1989</v>
      </c>
      <c r="AO6" s="33">
        <v>1990</v>
      </c>
      <c r="AP6" s="33">
        <v>1991</v>
      </c>
      <c r="AQ6" s="33">
        <v>1992</v>
      </c>
      <c r="AR6" s="33">
        <v>1993</v>
      </c>
      <c r="AS6" s="33">
        <v>1994</v>
      </c>
      <c r="AT6" s="33">
        <v>1995</v>
      </c>
      <c r="AU6" s="33">
        <v>1996</v>
      </c>
      <c r="AV6" s="33">
        <v>1997</v>
      </c>
      <c r="AW6" s="33">
        <v>1998</v>
      </c>
      <c r="AX6" s="33">
        <v>1999</v>
      </c>
      <c r="AY6" s="42" t="s">
        <v>270</v>
      </c>
      <c r="AZ6" s="42" t="s">
        <v>282</v>
      </c>
      <c r="BA6" s="42" t="s">
        <v>131</v>
      </c>
      <c r="BB6" s="42" t="s">
        <v>203</v>
      </c>
      <c r="BC6" s="42" t="s">
        <v>6</v>
      </c>
      <c r="BD6" s="42" t="s">
        <v>1638</v>
      </c>
      <c r="BE6" s="42" t="s">
        <v>1598</v>
      </c>
      <c r="BF6" s="42" t="s">
        <v>1599</v>
      </c>
      <c r="BG6" s="42" t="s">
        <v>1600</v>
      </c>
      <c r="BH6" s="42" t="s">
        <v>1601</v>
      </c>
      <c r="BI6" s="42" t="s">
        <v>1826</v>
      </c>
      <c r="BJ6" s="42" t="s">
        <v>1812</v>
      </c>
      <c r="BK6" s="42" t="s">
        <v>1869</v>
      </c>
      <c r="BL6" s="42" t="s">
        <v>1927</v>
      </c>
      <c r="BM6" s="33">
        <v>1984</v>
      </c>
      <c r="BN6" s="33">
        <v>1985</v>
      </c>
      <c r="BO6" s="33">
        <v>1986</v>
      </c>
      <c r="BP6" s="33">
        <v>1987</v>
      </c>
      <c r="BQ6" s="33">
        <v>1988</v>
      </c>
      <c r="BR6" s="33">
        <v>1989</v>
      </c>
      <c r="BS6" s="33">
        <v>1990</v>
      </c>
      <c r="BT6" s="33">
        <v>1991</v>
      </c>
      <c r="BU6" s="33">
        <v>1992</v>
      </c>
      <c r="BV6" s="33">
        <v>1993</v>
      </c>
      <c r="BW6" s="33">
        <v>1994</v>
      </c>
      <c r="BX6" s="33">
        <v>1995</v>
      </c>
      <c r="BY6" s="33">
        <v>1996</v>
      </c>
      <c r="BZ6" s="33">
        <v>1997</v>
      </c>
      <c r="CA6" s="33">
        <v>1998</v>
      </c>
      <c r="CB6" s="33">
        <v>1999</v>
      </c>
      <c r="CC6" s="42" t="s">
        <v>270</v>
      </c>
      <c r="CD6" s="42" t="s">
        <v>282</v>
      </c>
      <c r="CE6" s="42" t="s">
        <v>131</v>
      </c>
      <c r="CF6" s="42" t="s">
        <v>203</v>
      </c>
      <c r="CG6" s="42" t="s">
        <v>6</v>
      </c>
      <c r="CH6" s="42" t="s">
        <v>1638</v>
      </c>
      <c r="CI6" s="42" t="s">
        <v>1598</v>
      </c>
      <c r="CJ6" s="42" t="s">
        <v>1599</v>
      </c>
      <c r="CK6" s="42" t="s">
        <v>1600</v>
      </c>
      <c r="CL6" s="42" t="s">
        <v>1601</v>
      </c>
      <c r="CM6" s="42" t="s">
        <v>1826</v>
      </c>
      <c r="CN6" s="42" t="s">
        <v>1812</v>
      </c>
      <c r="CO6" s="42" t="s">
        <v>1869</v>
      </c>
      <c r="CP6" s="42" t="s">
        <v>1927</v>
      </c>
      <c r="CQ6" s="42" t="s">
        <v>3348</v>
      </c>
      <c r="CR6" s="42">
        <v>1980</v>
      </c>
      <c r="CS6" s="42">
        <v>1990</v>
      </c>
      <c r="CT6" s="42">
        <v>2000</v>
      </c>
      <c r="CU6" s="42">
        <v>2004</v>
      </c>
      <c r="CV6" s="42">
        <v>2006</v>
      </c>
      <c r="CW6" s="42">
        <v>1994</v>
      </c>
      <c r="CX6" s="42">
        <v>1980</v>
      </c>
      <c r="CY6" s="42">
        <v>1990</v>
      </c>
      <c r="CZ6" s="42">
        <v>2000</v>
      </c>
      <c r="DA6" s="42">
        <v>2004</v>
      </c>
      <c r="DB6" s="42">
        <v>2006</v>
      </c>
      <c r="DC6" s="42">
        <v>2007</v>
      </c>
    </row>
    <row r="7" spans="1:107" ht="77">
      <c r="A7" s="7" t="s">
        <v>3334</v>
      </c>
      <c r="B7" s="1"/>
      <c r="C7" s="1"/>
      <c r="D7" s="1"/>
      <c r="E7" s="92" t="s">
        <v>2275</v>
      </c>
      <c r="F7" s="92" t="s">
        <v>2276</v>
      </c>
      <c r="G7" s="92" t="s">
        <v>2277</v>
      </c>
      <c r="H7" s="92" t="s">
        <v>2278</v>
      </c>
      <c r="I7" s="92" t="s">
        <v>2279</v>
      </c>
      <c r="J7" s="92" t="s">
        <v>2280</v>
      </c>
      <c r="K7" s="92" t="s">
        <v>2281</v>
      </c>
      <c r="L7" s="92" t="s">
        <v>2282</v>
      </c>
      <c r="M7" s="92" t="s">
        <v>2283</v>
      </c>
      <c r="N7" s="92" t="s">
        <v>2284</v>
      </c>
      <c r="O7" s="92" t="s">
        <v>2285</v>
      </c>
      <c r="P7" s="92" t="s">
        <v>2286</v>
      </c>
      <c r="Q7" s="92" t="s">
        <v>2287</v>
      </c>
      <c r="R7" s="92" t="s">
        <v>2288</v>
      </c>
      <c r="S7" s="92" t="s">
        <v>2289</v>
      </c>
      <c r="T7" s="92" t="s">
        <v>2290</v>
      </c>
      <c r="U7" s="1" t="s">
        <v>2291</v>
      </c>
      <c r="V7" s="1" t="s">
        <v>2292</v>
      </c>
      <c r="W7" s="1" t="s">
        <v>2293</v>
      </c>
      <c r="X7" s="1" t="s">
        <v>2294</v>
      </c>
      <c r="Y7" s="1" t="s">
        <v>2295</v>
      </c>
      <c r="Z7" s="1" t="s">
        <v>2296</v>
      </c>
      <c r="AA7" s="1" t="s">
        <v>2297</v>
      </c>
      <c r="AB7" s="1" t="s">
        <v>2298</v>
      </c>
      <c r="AC7" s="1" t="s">
        <v>2299</v>
      </c>
      <c r="AD7" s="1" t="s">
        <v>2300</v>
      </c>
      <c r="AE7" s="1" t="s">
        <v>2301</v>
      </c>
      <c r="AF7" s="1" t="s">
        <v>2385</v>
      </c>
      <c r="AG7" s="1" t="s">
        <v>2568</v>
      </c>
      <c r="AH7" s="1" t="s">
        <v>2841</v>
      </c>
      <c r="AI7" s="92" t="s">
        <v>26</v>
      </c>
      <c r="AJ7" s="92" t="s">
        <v>27</v>
      </c>
      <c r="AK7" s="92" t="s">
        <v>28</v>
      </c>
      <c r="AL7" s="92" t="s">
        <v>29</v>
      </c>
      <c r="AM7" s="92" t="s">
        <v>30</v>
      </c>
      <c r="AN7" s="92" t="s">
        <v>31</v>
      </c>
      <c r="AO7" s="92" t="s">
        <v>32</v>
      </c>
      <c r="AP7" s="92" t="s">
        <v>33</v>
      </c>
      <c r="AQ7" s="92" t="s">
        <v>34</v>
      </c>
      <c r="AR7" s="92" t="s">
        <v>35</v>
      </c>
      <c r="AS7" s="92" t="s">
        <v>36</v>
      </c>
      <c r="AT7" s="92" t="s">
        <v>37</v>
      </c>
      <c r="AU7" s="92" t="s">
        <v>19</v>
      </c>
      <c r="AV7" s="92" t="s">
        <v>7</v>
      </c>
      <c r="AW7" s="92" t="s">
        <v>8</v>
      </c>
      <c r="AX7" s="92" t="s">
        <v>5</v>
      </c>
      <c r="AY7" s="1" t="s">
        <v>1749</v>
      </c>
      <c r="AZ7" s="1" t="s">
        <v>1796</v>
      </c>
      <c r="BA7" s="1" t="s">
        <v>1797</v>
      </c>
      <c r="BB7" s="1" t="s">
        <v>1798</v>
      </c>
      <c r="BC7" s="1" t="s">
        <v>1799</v>
      </c>
      <c r="BD7" s="1" t="s">
        <v>1800</v>
      </c>
      <c r="BE7" s="1" t="s">
        <v>1745</v>
      </c>
      <c r="BF7" s="1" t="s">
        <v>1746</v>
      </c>
      <c r="BG7" s="1" t="s">
        <v>1747</v>
      </c>
      <c r="BH7" s="1" t="s">
        <v>1748</v>
      </c>
      <c r="BI7" s="1" t="s">
        <v>1891</v>
      </c>
      <c r="BJ7" s="1" t="s">
        <v>1889</v>
      </c>
      <c r="BK7" s="1" t="s">
        <v>2566</v>
      </c>
      <c r="BL7" s="1" t="s">
        <v>2846</v>
      </c>
      <c r="BM7" s="85" t="s">
        <v>47</v>
      </c>
      <c r="BN7" s="85" t="s">
        <v>48</v>
      </c>
      <c r="BO7" s="85" t="s">
        <v>81</v>
      </c>
      <c r="BP7" s="85" t="s">
        <v>82</v>
      </c>
      <c r="BQ7" s="85" t="s">
        <v>83</v>
      </c>
      <c r="BR7" s="85" t="s">
        <v>84</v>
      </c>
      <c r="BS7" s="85" t="s">
        <v>85</v>
      </c>
      <c r="BT7" s="85" t="s">
        <v>86</v>
      </c>
      <c r="BU7" s="85" t="s">
        <v>87</v>
      </c>
      <c r="BV7" s="85" t="s">
        <v>71</v>
      </c>
      <c r="BW7" s="85" t="s">
        <v>72</v>
      </c>
      <c r="BX7" s="85" t="s">
        <v>73</v>
      </c>
      <c r="BY7" s="85" t="s">
        <v>74</v>
      </c>
      <c r="BZ7" s="85" t="s">
        <v>62</v>
      </c>
      <c r="CA7" s="85" t="s">
        <v>64</v>
      </c>
      <c r="CB7" s="85" t="s">
        <v>1731</v>
      </c>
      <c r="CC7" s="1" t="s">
        <v>1795</v>
      </c>
      <c r="CD7" s="1" t="s">
        <v>1732</v>
      </c>
      <c r="CE7" s="1" t="s">
        <v>1733</v>
      </c>
      <c r="CF7" s="1" t="s">
        <v>1788</v>
      </c>
      <c r="CG7" s="1" t="s">
        <v>1789</v>
      </c>
      <c r="CH7" s="1" t="s">
        <v>1790</v>
      </c>
      <c r="CI7" s="1" t="s">
        <v>1791</v>
      </c>
      <c r="CJ7" s="1" t="s">
        <v>1792</v>
      </c>
      <c r="CK7" s="1" t="s">
        <v>1793</v>
      </c>
      <c r="CL7" s="1" t="s">
        <v>1794</v>
      </c>
      <c r="CM7" s="1" t="s">
        <v>2570</v>
      </c>
      <c r="CN7" s="1" t="s">
        <v>2571</v>
      </c>
      <c r="CO7" s="1" t="s">
        <v>2572</v>
      </c>
      <c r="CP7" s="1" t="s">
        <v>2848</v>
      </c>
      <c r="CQ7" s="1" t="s">
        <v>2848</v>
      </c>
      <c r="CR7" s="1" t="s">
        <v>516</v>
      </c>
      <c r="CS7" s="1" t="s">
        <v>309</v>
      </c>
      <c r="CT7" s="1" t="s">
        <v>418</v>
      </c>
      <c r="CU7" s="1" t="s">
        <v>496</v>
      </c>
      <c r="CV7" s="1" t="s">
        <v>407</v>
      </c>
      <c r="CW7" s="1" t="s">
        <v>1245</v>
      </c>
      <c r="CX7" s="1" t="s">
        <v>499</v>
      </c>
      <c r="CY7" s="1" t="s">
        <v>427</v>
      </c>
      <c r="CZ7" s="1" t="s">
        <v>390</v>
      </c>
      <c r="DA7" s="1" t="s">
        <v>457</v>
      </c>
      <c r="DB7" s="1" t="s">
        <v>458</v>
      </c>
      <c r="DC7" s="1" t="s">
        <v>1320</v>
      </c>
    </row>
    <row r="8" spans="1:107">
      <c r="A8" s="9" t="s">
        <v>572</v>
      </c>
      <c r="B8" s="9" t="s">
        <v>770</v>
      </c>
      <c r="C8" s="9" t="s">
        <v>771</v>
      </c>
      <c r="D8" s="9" t="s">
        <v>772</v>
      </c>
      <c r="E8" s="93" t="s">
        <v>2303</v>
      </c>
      <c r="F8" s="93" t="s">
        <v>2304</v>
      </c>
      <c r="G8" s="93" t="s">
        <v>2305</v>
      </c>
      <c r="H8" s="93" t="s">
        <v>2306</v>
      </c>
      <c r="I8" s="93" t="s">
        <v>2307</v>
      </c>
      <c r="J8" s="93" t="s">
        <v>2308</v>
      </c>
      <c r="K8" s="93" t="s">
        <v>2309</v>
      </c>
      <c r="L8" s="93" t="s">
        <v>2310</v>
      </c>
      <c r="M8" s="93" t="s">
        <v>2311</v>
      </c>
      <c r="N8" s="93" t="s">
        <v>2312</v>
      </c>
      <c r="O8" s="93" t="s">
        <v>2313</v>
      </c>
      <c r="P8" s="93" t="s">
        <v>2314</v>
      </c>
      <c r="Q8" s="93" t="s">
        <v>2315</v>
      </c>
      <c r="R8" s="93" t="s">
        <v>2316</v>
      </c>
      <c r="S8" s="93" t="s">
        <v>2317</v>
      </c>
      <c r="T8" s="93" t="s">
        <v>2318</v>
      </c>
      <c r="U8" s="9" t="s">
        <v>2319</v>
      </c>
      <c r="V8" s="9" t="s">
        <v>2320</v>
      </c>
      <c r="W8" s="9" t="s">
        <v>2321</v>
      </c>
      <c r="X8" s="9" t="s">
        <v>2322</v>
      </c>
      <c r="Y8" s="9" t="s">
        <v>2323</v>
      </c>
      <c r="Z8" s="9" t="s">
        <v>2324</v>
      </c>
      <c r="AA8" s="9" t="s">
        <v>2325</v>
      </c>
      <c r="AB8" s="9" t="s">
        <v>2326</v>
      </c>
      <c r="AC8" s="9" t="s">
        <v>2327</v>
      </c>
      <c r="AD8" s="9" t="s">
        <v>2328</v>
      </c>
      <c r="AE8" s="9" t="s">
        <v>2329</v>
      </c>
      <c r="AF8" s="9" t="s">
        <v>2384</v>
      </c>
      <c r="AG8" s="9" t="s">
        <v>2569</v>
      </c>
      <c r="AH8" s="9" t="s">
        <v>2842</v>
      </c>
      <c r="AI8" s="93" t="s">
        <v>2330</v>
      </c>
      <c r="AJ8" s="93" t="s">
        <v>2331</v>
      </c>
      <c r="AK8" s="93" t="s">
        <v>2332</v>
      </c>
      <c r="AL8" s="93" t="s">
        <v>2333</v>
      </c>
      <c r="AM8" s="93" t="s">
        <v>2334</v>
      </c>
      <c r="AN8" s="93" t="s">
        <v>2335</v>
      </c>
      <c r="AO8" s="93" t="s">
        <v>2336</v>
      </c>
      <c r="AP8" s="93" t="s">
        <v>2337</v>
      </c>
      <c r="AQ8" s="93" t="s">
        <v>2338</v>
      </c>
      <c r="AR8" s="93" t="s">
        <v>2339</v>
      </c>
      <c r="AS8" s="93" t="s">
        <v>2340</v>
      </c>
      <c r="AT8" s="93" t="s">
        <v>2341</v>
      </c>
      <c r="AU8" s="93" t="s">
        <v>2342</v>
      </c>
      <c r="AV8" s="93" t="s">
        <v>2343</v>
      </c>
      <c r="AW8" s="93" t="s">
        <v>2344</v>
      </c>
      <c r="AX8" s="93" t="s">
        <v>2345</v>
      </c>
      <c r="AY8" s="9" t="s">
        <v>2346</v>
      </c>
      <c r="AZ8" s="9" t="s">
        <v>2347</v>
      </c>
      <c r="BA8" s="9" t="s">
        <v>2348</v>
      </c>
      <c r="BB8" s="9" t="s">
        <v>2349</v>
      </c>
      <c r="BC8" s="9" t="s">
        <v>2350</v>
      </c>
      <c r="BD8" s="9" t="s">
        <v>2351</v>
      </c>
      <c r="BE8" s="9" t="s">
        <v>2352</v>
      </c>
      <c r="BF8" s="9" t="s">
        <v>2353</v>
      </c>
      <c r="BG8" s="9" t="s">
        <v>2354</v>
      </c>
      <c r="BH8" s="9" t="s">
        <v>2355</v>
      </c>
      <c r="BI8" s="9" t="s">
        <v>2356</v>
      </c>
      <c r="BJ8" s="9" t="s">
        <v>2383</v>
      </c>
      <c r="BK8" s="9" t="s">
        <v>2567</v>
      </c>
      <c r="BL8" s="9" t="s">
        <v>2847</v>
      </c>
      <c r="BM8" s="86" t="s">
        <v>2357</v>
      </c>
      <c r="BN8" s="86" t="s">
        <v>2358</v>
      </c>
      <c r="BO8" s="86" t="s">
        <v>2359</v>
      </c>
      <c r="BP8" s="86" t="s">
        <v>2360</v>
      </c>
      <c r="BQ8" s="86" t="s">
        <v>2361</v>
      </c>
      <c r="BR8" s="86" t="s">
        <v>2362</v>
      </c>
      <c r="BS8" s="86" t="s">
        <v>2363</v>
      </c>
      <c r="BT8" s="86" t="s">
        <v>2364</v>
      </c>
      <c r="BU8" s="86" t="s">
        <v>2365</v>
      </c>
      <c r="BV8" s="86" t="s">
        <v>2366</v>
      </c>
      <c r="BW8" s="86" t="s">
        <v>2367</v>
      </c>
      <c r="BX8" s="86" t="s">
        <v>2368</v>
      </c>
      <c r="BY8" s="86" t="s">
        <v>2369</v>
      </c>
      <c r="BZ8" s="86" t="s">
        <v>2370</v>
      </c>
      <c r="CA8" s="86" t="s">
        <v>2371</v>
      </c>
      <c r="CB8" s="86" t="s">
        <v>2372</v>
      </c>
      <c r="CC8" s="9" t="s">
        <v>2373</v>
      </c>
      <c r="CD8" s="9" t="s">
        <v>2374</v>
      </c>
      <c r="CE8" s="9" t="s">
        <v>2375</v>
      </c>
      <c r="CF8" s="9" t="s">
        <v>2376</v>
      </c>
      <c r="CG8" s="9" t="s">
        <v>2377</v>
      </c>
      <c r="CH8" s="9" t="s">
        <v>2378</v>
      </c>
      <c r="CI8" s="9" t="s">
        <v>2379</v>
      </c>
      <c r="CJ8" s="9" t="s">
        <v>2380</v>
      </c>
      <c r="CK8" s="9" t="s">
        <v>2381</v>
      </c>
      <c r="CL8" s="9" t="s">
        <v>2382</v>
      </c>
      <c r="CM8" s="9" t="s">
        <v>2573</v>
      </c>
      <c r="CN8" s="9" t="s">
        <v>2574</v>
      </c>
      <c r="CO8" s="9" t="s">
        <v>2575</v>
      </c>
      <c r="CP8" s="9" t="s">
        <v>2849</v>
      </c>
      <c r="CQ8" s="9" t="s">
        <v>3355</v>
      </c>
      <c r="CR8" s="9" t="s">
        <v>412</v>
      </c>
      <c r="CS8" s="9" t="s">
        <v>409</v>
      </c>
      <c r="CT8" s="9" t="s">
        <v>482</v>
      </c>
      <c r="CU8" s="9" t="s">
        <v>241</v>
      </c>
      <c r="CV8" s="9" t="s">
        <v>242</v>
      </c>
      <c r="CW8" s="9" t="s">
        <v>1134</v>
      </c>
      <c r="CX8" s="9" t="s">
        <v>417</v>
      </c>
      <c r="CY8" s="9" t="s">
        <v>416</v>
      </c>
      <c r="CZ8" s="9" t="s">
        <v>435</v>
      </c>
      <c r="DA8" s="9" t="s">
        <v>292</v>
      </c>
      <c r="DB8" s="9" t="s">
        <v>293</v>
      </c>
      <c r="DC8" s="9" t="s">
        <v>1294</v>
      </c>
    </row>
    <row r="9" spans="1:107">
      <c r="A9" s="3" t="s">
        <v>850</v>
      </c>
      <c r="B9" s="3" t="s">
        <v>851</v>
      </c>
      <c r="C9" s="3">
        <v>1</v>
      </c>
      <c r="D9" s="3" t="s">
        <v>759</v>
      </c>
      <c r="E9" s="72">
        <f>100-AI9</f>
        <v>97.268142260731722</v>
      </c>
      <c r="F9" s="72">
        <f t="shared" ref="F9:AE18" si="0">100-AJ9</f>
        <v>97.50264718339686</v>
      </c>
      <c r="G9" s="72">
        <f t="shared" si="0"/>
        <v>97.944935788708506</v>
      </c>
      <c r="H9" s="72">
        <f t="shared" si="0"/>
        <v>98.00665123472389</v>
      </c>
      <c r="I9" s="72">
        <f t="shared" si="0"/>
        <v>97.872967410942891</v>
      </c>
      <c r="J9" s="72">
        <f t="shared" si="0"/>
        <v>97.69308273976975</v>
      </c>
      <c r="K9" s="72">
        <f t="shared" si="0"/>
        <v>97.723577235772353</v>
      </c>
      <c r="L9" s="72">
        <f t="shared" si="0"/>
        <v>97.660455911155779</v>
      </c>
      <c r="M9" s="72">
        <f t="shared" si="0"/>
        <v>98.377060163473132</v>
      </c>
      <c r="N9" s="72">
        <f t="shared" si="0"/>
        <v>98.606784688414862</v>
      </c>
      <c r="O9" s="72">
        <f t="shared" si="0"/>
        <v>98.659750821039466</v>
      </c>
      <c r="P9" s="72">
        <f t="shared" si="0"/>
        <v>98.661131181395646</v>
      </c>
      <c r="Q9" s="72">
        <f t="shared" si="0"/>
        <v>97.66555526797903</v>
      </c>
      <c r="R9" s="72">
        <f t="shared" si="0"/>
        <v>97.372786001125192</v>
      </c>
      <c r="S9" s="72">
        <f t="shared" si="0"/>
        <v>98.391061560646094</v>
      </c>
      <c r="T9" s="72">
        <f t="shared" si="0"/>
        <v>98.572182316350705</v>
      </c>
      <c r="U9" s="72">
        <f t="shared" si="0"/>
        <v>99.294334079270726</v>
      </c>
      <c r="V9" s="72">
        <f t="shared" si="0"/>
        <v>98.926017666027946</v>
      </c>
      <c r="W9" s="72">
        <f t="shared" si="0"/>
        <v>99.379621908418628</v>
      </c>
      <c r="X9" s="72">
        <f t="shared" si="0"/>
        <v>99.213412052821567</v>
      </c>
      <c r="Y9" s="72">
        <f t="shared" si="0"/>
        <v>99.19386777387416</v>
      </c>
      <c r="Z9" s="72">
        <f t="shared" si="0"/>
        <v>98.874876898808637</v>
      </c>
      <c r="AA9" s="72">
        <f t="shared" si="0"/>
        <v>98.800658427520162</v>
      </c>
      <c r="AB9" s="72">
        <f t="shared" si="0"/>
        <v>98.555260620947394</v>
      </c>
      <c r="AC9" s="72">
        <f t="shared" si="0"/>
        <v>98.878558063287571</v>
      </c>
      <c r="AD9" s="72">
        <f t="shared" si="0"/>
        <v>98.850257352789669</v>
      </c>
      <c r="AE9" s="72">
        <f t="shared" si="0"/>
        <v>97.826974331884657</v>
      </c>
      <c r="AF9" s="72">
        <f t="shared" ref="AF9:AF17" si="1">100-BJ9</f>
        <v>98.834749518418292</v>
      </c>
      <c r="AG9" s="73">
        <v>98.242733597763191</v>
      </c>
      <c r="AH9" s="73">
        <v>98.989072657932695</v>
      </c>
      <c r="AI9" s="27">
        <v>2.7318577392682832</v>
      </c>
      <c r="AJ9" s="27">
        <v>2.4973528166031342</v>
      </c>
      <c r="AK9" s="27">
        <v>2.0550642112914947</v>
      </c>
      <c r="AL9" s="27">
        <v>1.993348765276107</v>
      </c>
      <c r="AM9" s="87">
        <v>2.1270325890571105</v>
      </c>
      <c r="AN9" s="88">
        <v>2.306917260230243</v>
      </c>
      <c r="AO9" s="27">
        <v>2.2764227642276422</v>
      </c>
      <c r="AP9" s="27">
        <v>2.3395440888442254</v>
      </c>
      <c r="AQ9" s="27">
        <v>1.6229398365268659</v>
      </c>
      <c r="AR9" s="27">
        <v>1.3932153115851338</v>
      </c>
      <c r="AS9" s="27">
        <v>1.340249178960538</v>
      </c>
      <c r="AT9" s="27">
        <v>1.3388688186043534</v>
      </c>
      <c r="AU9" s="27">
        <v>2.3344447320209691</v>
      </c>
      <c r="AV9" s="27">
        <v>2.6272139988748133</v>
      </c>
      <c r="AW9" s="27">
        <v>1.6089384393539086</v>
      </c>
      <c r="AX9" s="27">
        <v>1.4278176836492891</v>
      </c>
      <c r="AY9" s="70">
        <v>0.70566592072927969</v>
      </c>
      <c r="AZ9" s="59">
        <v>1.0739823339720522</v>
      </c>
      <c r="BA9" s="70">
        <v>0.62037809158136847</v>
      </c>
      <c r="BB9" s="70">
        <v>0.78658794717843439</v>
      </c>
      <c r="BC9" s="70">
        <v>0.80613222612583835</v>
      </c>
      <c r="BD9" s="70">
        <v>1.1251231011913581</v>
      </c>
      <c r="BE9" s="70">
        <v>1.1993415724798422</v>
      </c>
      <c r="BF9" s="70">
        <v>1.4447393790525997</v>
      </c>
      <c r="BG9" s="70">
        <v>1.121441936712424</v>
      </c>
      <c r="BH9" s="59">
        <v>1.1497426472103287</v>
      </c>
      <c r="BI9" s="59">
        <v>2.173025668115347</v>
      </c>
      <c r="BJ9" s="59">
        <v>1.1652504815817144</v>
      </c>
      <c r="BK9" s="59">
        <v>1.7572664022368165</v>
      </c>
      <c r="BL9" s="59">
        <f>100-AH9</f>
        <v>1.0109273420673048</v>
      </c>
      <c r="BM9" s="27">
        <v>0.99784469888217509</v>
      </c>
      <c r="BN9" s="27">
        <v>1.4585980516730199</v>
      </c>
      <c r="BO9" s="27">
        <v>1.0237460625151442</v>
      </c>
      <c r="BP9" s="27">
        <v>0.82685562373014998</v>
      </c>
      <c r="BQ9" s="87">
        <v>0.99515946705828928</v>
      </c>
      <c r="BR9" s="88">
        <v>1.1093154565950401</v>
      </c>
      <c r="BS9" s="27">
        <v>1.1056910569105691</v>
      </c>
      <c r="BT9" s="27">
        <v>0.9792963422512535</v>
      </c>
      <c r="BU9" s="27">
        <v>0.62709366206619321</v>
      </c>
      <c r="BV9" s="27">
        <v>0.48351793757822015</v>
      </c>
      <c r="BW9" s="27">
        <v>0.49418756190376895</v>
      </c>
      <c r="BX9" s="27">
        <v>0.40075348057866456</v>
      </c>
      <c r="BY9" s="27">
        <v>0.87693923846352928</v>
      </c>
      <c r="BZ9" s="27">
        <v>1.1280966884590762</v>
      </c>
      <c r="CA9" s="27">
        <v>0.65083374464090427</v>
      </c>
      <c r="CB9" s="27">
        <v>0.39479043246445494</v>
      </c>
      <c r="CC9" s="70">
        <f>(712/218517)*100</f>
        <v>0.3258327727362173</v>
      </c>
      <c r="CD9" s="70">
        <f>(994/213970)*100</f>
        <v>0.46455110529513477</v>
      </c>
      <c r="CE9" s="70">
        <f>(582/218254)*100</f>
        <v>0.2666617793946503</v>
      </c>
      <c r="CF9" s="70">
        <f>(482/219683)*100</f>
        <v>0.21940705471065128</v>
      </c>
      <c r="CG9" s="70">
        <f>(370/234825)*100</f>
        <v>0.1575641435111253</v>
      </c>
      <c r="CH9" s="70">
        <v>0.12244755671369931</v>
      </c>
      <c r="CI9" s="70">
        <v>0.13335798035280447</v>
      </c>
      <c r="CJ9" s="70">
        <v>0.14262509409294402</v>
      </c>
      <c r="CK9" s="70">
        <v>0.14447517014124622</v>
      </c>
      <c r="CL9" s="59">
        <v>0.13022174785608023</v>
      </c>
      <c r="CM9" s="59">
        <v>0.13606422231293172</v>
      </c>
      <c r="CN9" s="59">
        <v>0.11778563015312131</v>
      </c>
      <c r="CO9" s="59">
        <v>9.0626828792509259E-2</v>
      </c>
      <c r="CP9" s="59">
        <v>0.1181654711798763</v>
      </c>
      <c r="CQ9" s="59">
        <v>0.13955335217175086</v>
      </c>
      <c r="CR9" s="35">
        <v>1.6027704043364701</v>
      </c>
      <c r="CS9" s="35">
        <v>1.1182984321894529</v>
      </c>
      <c r="CT9" s="35">
        <v>0.33806284478046583</v>
      </c>
      <c r="CU9" s="35">
        <v>0.17014601699745854</v>
      </c>
      <c r="CV9" s="35">
        <v>0.13475290852812466</v>
      </c>
      <c r="CW9" s="11">
        <v>98.7</v>
      </c>
      <c r="CX9" s="35">
        <v>0.28096652484546841</v>
      </c>
      <c r="CY9" s="35">
        <v>0.31990614771875864</v>
      </c>
      <c r="CZ9" s="35">
        <v>9.6106760881802408E-2</v>
      </c>
      <c r="DA9" s="35">
        <v>0.11364321197041834</v>
      </c>
      <c r="DB9" s="35">
        <v>3.2577735319107723E-2</v>
      </c>
      <c r="DC9" s="35">
        <v>6.9999999999993179E-2</v>
      </c>
    </row>
    <row r="10" spans="1:107">
      <c r="A10" s="3" t="s">
        <v>667</v>
      </c>
      <c r="B10" s="3" t="s">
        <v>668</v>
      </c>
      <c r="C10" s="3">
        <v>2</v>
      </c>
      <c r="D10" s="3" t="s">
        <v>759</v>
      </c>
      <c r="E10" s="72">
        <f t="shared" ref="E10:E32" si="2">100-AI10</f>
        <v>99.06179021267809</v>
      </c>
      <c r="F10" s="72">
        <f t="shared" si="0"/>
        <v>99.228707201169726</v>
      </c>
      <c r="G10" s="72">
        <f t="shared" si="0"/>
        <v>99.506820314191543</v>
      </c>
      <c r="H10" s="72">
        <f t="shared" si="0"/>
        <v>99.529819047852882</v>
      </c>
      <c r="I10" s="72">
        <f t="shared" si="0"/>
        <v>99.65649375612297</v>
      </c>
      <c r="J10" s="72">
        <f t="shared" si="0"/>
        <v>99.65649375612297</v>
      </c>
      <c r="K10" s="72">
        <f t="shared" si="0"/>
        <v>99.720656139187227</v>
      </c>
      <c r="L10" s="72">
        <f t="shared" si="0"/>
        <v>99.715761635235665</v>
      </c>
      <c r="M10" s="72">
        <f t="shared" si="0"/>
        <v>99.711538461538467</v>
      </c>
      <c r="N10" s="72">
        <f t="shared" si="0"/>
        <v>99.204257605608575</v>
      </c>
      <c r="O10" s="72">
        <f t="shared" si="0"/>
        <v>99.327438683961105</v>
      </c>
      <c r="P10" s="72">
        <f t="shared" si="0"/>
        <v>99.252733737935458</v>
      </c>
      <c r="Q10" s="72">
        <f t="shared" si="0"/>
        <v>99.32421688662744</v>
      </c>
      <c r="R10" s="72">
        <f t="shared" si="0"/>
        <v>99.107722482354731</v>
      </c>
      <c r="S10" s="72">
        <f t="shared" si="0"/>
        <v>98.946104775331875</v>
      </c>
      <c r="T10" s="72">
        <f t="shared" si="0"/>
        <v>99.431463634472721</v>
      </c>
      <c r="U10" s="72">
        <f t="shared" si="0"/>
        <v>99.185588339944388</v>
      </c>
      <c r="V10" s="72">
        <f t="shared" si="0"/>
        <v>99.141396661430733</v>
      </c>
      <c r="W10" s="72">
        <f t="shared" si="0"/>
        <v>99.51579744644016</v>
      </c>
      <c r="X10" s="72">
        <f t="shared" si="0"/>
        <v>99.686578414906705</v>
      </c>
      <c r="Y10" s="72">
        <f t="shared" si="0"/>
        <v>99.793092273367492</v>
      </c>
      <c r="Z10" s="72">
        <f t="shared" si="0"/>
        <v>99.812705644140721</v>
      </c>
      <c r="AA10" s="72">
        <f t="shared" si="0"/>
        <v>99.767785518260496</v>
      </c>
      <c r="AB10" s="72">
        <f t="shared" si="0"/>
        <v>99.746991669237886</v>
      </c>
      <c r="AC10" s="72">
        <f t="shared" si="0"/>
        <v>99.686307073083526</v>
      </c>
      <c r="AD10" s="72">
        <f t="shared" si="0"/>
        <v>99.739887841546349</v>
      </c>
      <c r="AE10" s="72">
        <f t="shared" si="0"/>
        <v>99.716493348050889</v>
      </c>
      <c r="AF10" s="72">
        <f t="shared" si="1"/>
        <v>99.665701966806452</v>
      </c>
      <c r="AG10" s="73">
        <v>99.638922663129577</v>
      </c>
      <c r="AH10" s="73">
        <v>99.6321744197339</v>
      </c>
      <c r="AI10" s="27">
        <v>0.93820978732190796</v>
      </c>
      <c r="AJ10" s="27">
        <v>0.7712927988302668</v>
      </c>
      <c r="AK10" s="27">
        <v>0.49317968580845378</v>
      </c>
      <c r="AL10" s="27">
        <v>0.4701809521471188</v>
      </c>
      <c r="AM10" s="87">
        <v>0.34350624387703221</v>
      </c>
      <c r="AN10" s="88">
        <v>0.34350624387703221</v>
      </c>
      <c r="AO10" s="27">
        <v>0.27934386081277585</v>
      </c>
      <c r="AP10" s="27">
        <v>0.28423836476432929</v>
      </c>
      <c r="AQ10" s="88">
        <v>0.28846153846153849</v>
      </c>
      <c r="AR10" s="88">
        <v>0.79574239439142336</v>
      </c>
      <c r="AS10" s="27">
        <v>0.67256131603889946</v>
      </c>
      <c r="AT10" s="27">
        <v>0.74726626206454028</v>
      </c>
      <c r="AU10" s="27">
        <v>0.67578311337255526</v>
      </c>
      <c r="AV10" s="27">
        <v>0.8922775176452713</v>
      </c>
      <c r="AW10" s="27">
        <v>1.0538952246681277</v>
      </c>
      <c r="AX10" s="27">
        <v>0.56853636552728282</v>
      </c>
      <c r="AY10" s="70">
        <v>0.81441166005561183</v>
      </c>
      <c r="AZ10" s="59">
        <v>0.85860333856926063</v>
      </c>
      <c r="BA10" s="70">
        <v>0.48420255355983555</v>
      </c>
      <c r="BB10" s="70">
        <v>0.31342158509329915</v>
      </c>
      <c r="BC10" s="70">
        <v>0.20690772663251442</v>
      </c>
      <c r="BD10" s="70">
        <v>0.18729435585927615</v>
      </c>
      <c r="BE10" s="70">
        <v>0.23221448173949757</v>
      </c>
      <c r="BF10" s="70">
        <v>0.25300833076211049</v>
      </c>
      <c r="BG10" s="70">
        <v>0.31369292691646772</v>
      </c>
      <c r="BH10" s="59">
        <v>0.26011215845364516</v>
      </c>
      <c r="BI10" s="59">
        <v>0.28350665194910585</v>
      </c>
      <c r="BJ10" s="59">
        <v>0.33429803319354745</v>
      </c>
      <c r="BK10" s="59">
        <v>0.36107733687041749</v>
      </c>
      <c r="BL10" s="59">
        <f t="shared" ref="BL10:BL32" si="3">100-AH10</f>
        <v>0.36782558026609991</v>
      </c>
      <c r="BM10" s="27">
        <v>0.49168903572166012</v>
      </c>
      <c r="BN10" s="27">
        <v>0.51419519922017787</v>
      </c>
      <c r="BO10" s="27">
        <v>0.41860129429595594</v>
      </c>
      <c r="BP10" s="27">
        <v>0.27007783152053816</v>
      </c>
      <c r="BQ10" s="87">
        <v>0.1884944009722343</v>
      </c>
      <c r="BR10" s="88">
        <v>0.1884944009722343</v>
      </c>
      <c r="BS10" s="27">
        <v>0.21811780912778389</v>
      </c>
      <c r="BT10" s="27">
        <v>0.24345633851553422</v>
      </c>
      <c r="BU10" s="88">
        <v>0.2465483234714004</v>
      </c>
      <c r="BV10" s="88">
        <v>0.2469104214108436</v>
      </c>
      <c r="BW10" s="27">
        <v>0.31940170607252755</v>
      </c>
      <c r="BX10" s="27">
        <v>0.16041493997807663</v>
      </c>
      <c r="BY10" s="27">
        <v>0.15105740181268881</v>
      </c>
      <c r="BZ10" s="27">
        <v>0.22790370032735258</v>
      </c>
      <c r="CA10" s="27">
        <v>0.23032147294071667</v>
      </c>
      <c r="CB10" s="27">
        <v>0.19968106496567983</v>
      </c>
      <c r="CC10" s="70">
        <f>(323/75883)*100</f>
        <v>0.42565528510997197</v>
      </c>
      <c r="CD10" s="70">
        <f>(258/75122)*100</f>
        <v>0.34344133542770428</v>
      </c>
      <c r="CE10" s="70">
        <f>(231/73936)*100</f>
        <v>0.31243237394503354</v>
      </c>
      <c r="CF10" s="70">
        <f>(167/75617)*100</f>
        <v>0.22084980890540484</v>
      </c>
      <c r="CG10" s="70">
        <f>(141/80229)*100</f>
        <v>0.17574692442882248</v>
      </c>
      <c r="CH10" s="70">
        <v>0.14047076689445709</v>
      </c>
      <c r="CI10" s="70">
        <v>0.1875100895329633</v>
      </c>
      <c r="CJ10" s="70">
        <v>0.21598272138228944</v>
      </c>
      <c r="CK10" s="70">
        <v>0.27448131105190926</v>
      </c>
      <c r="CL10" s="59">
        <v>0.23982818279441592</v>
      </c>
      <c r="CM10" s="59">
        <v>0.26607796432928604</v>
      </c>
      <c r="CN10" s="59">
        <v>0.61152728940528978</v>
      </c>
      <c r="CO10" s="59">
        <v>0.32914532748731928</v>
      </c>
      <c r="CP10" s="59">
        <v>0.29984461493638925</v>
      </c>
      <c r="CQ10" s="59">
        <v>0.39596832253419728</v>
      </c>
      <c r="CR10" s="35">
        <v>0.41239481322169091</v>
      </c>
      <c r="CS10" s="35">
        <v>0.21823750877416884</v>
      </c>
      <c r="CT10" s="35">
        <v>0.48524434101967417</v>
      </c>
      <c r="CU10" s="35">
        <v>0.19944404971142937</v>
      </c>
      <c r="CV10" s="35">
        <v>0.18754269390796746</v>
      </c>
      <c r="CW10" s="11">
        <v>99.3</v>
      </c>
      <c r="CX10" s="35">
        <v>7.1812164356188327E-2</v>
      </c>
      <c r="CY10" s="35">
        <v>1.91343614863572E-2</v>
      </c>
      <c r="CZ10" s="35">
        <v>0.30717713441965933</v>
      </c>
      <c r="DA10" s="35">
        <v>0.10025439552865396</v>
      </c>
      <c r="DB10" s="35">
        <v>4.1228355113565374E-2</v>
      </c>
      <c r="DC10" s="35">
        <v>0.76999999999999602</v>
      </c>
    </row>
    <row r="11" spans="1:107">
      <c r="A11" s="3" t="s">
        <v>669</v>
      </c>
      <c r="B11" s="3" t="s">
        <v>663</v>
      </c>
      <c r="C11" s="3">
        <v>3</v>
      </c>
      <c r="D11" s="3" t="s">
        <v>664</v>
      </c>
      <c r="E11" s="72">
        <f t="shared" si="2"/>
        <v>84.802248544468981</v>
      </c>
      <c r="F11" s="72">
        <f t="shared" si="0"/>
        <v>84.802248544468981</v>
      </c>
      <c r="G11" s="72">
        <f t="shared" si="0"/>
        <v>84.802248544468981</v>
      </c>
      <c r="H11" s="72">
        <f t="shared" si="0"/>
        <v>84.802248544468981</v>
      </c>
      <c r="I11" s="72">
        <f t="shared" si="0"/>
        <v>84.802248544468981</v>
      </c>
      <c r="J11" s="72">
        <f t="shared" si="0"/>
        <v>84.802248544468981</v>
      </c>
      <c r="K11" s="72">
        <f t="shared" si="0"/>
        <v>89.726807057484351</v>
      </c>
      <c r="L11" s="72">
        <f t="shared" si="0"/>
        <v>92.229065653256455</v>
      </c>
      <c r="M11" s="72">
        <f t="shared" si="0"/>
        <v>93.695389165210372</v>
      </c>
      <c r="N11" s="72">
        <f t="shared" si="0"/>
        <v>94.487197425493207</v>
      </c>
      <c r="O11" s="72">
        <f t="shared" si="0"/>
        <v>96.583807804471604</v>
      </c>
      <c r="P11" s="72">
        <f t="shared" si="0"/>
        <v>95.757421327557651</v>
      </c>
      <c r="Q11" s="72">
        <f t="shared" si="0"/>
        <v>96.471380471380471</v>
      </c>
      <c r="R11" s="72">
        <f t="shared" si="0"/>
        <v>97.183098591549296</v>
      </c>
      <c r="S11" s="72">
        <f t="shared" si="0"/>
        <v>89.415542710340404</v>
      </c>
      <c r="T11" s="72">
        <f t="shared" si="0"/>
        <v>100</v>
      </c>
      <c r="U11" s="72">
        <f t="shared" si="0"/>
        <v>100</v>
      </c>
      <c r="V11" s="72">
        <f t="shared" si="0"/>
        <v>97.296955917645576</v>
      </c>
      <c r="W11" s="72">
        <f t="shared" si="0"/>
        <v>96.855266481434711</v>
      </c>
      <c r="X11" s="72">
        <f t="shared" si="0"/>
        <v>97.452476399844826</v>
      </c>
      <c r="Y11" s="72">
        <f t="shared" si="0"/>
        <v>97.632311977715872</v>
      </c>
      <c r="Z11" s="72">
        <f t="shared" si="0"/>
        <v>97.693740151840714</v>
      </c>
      <c r="AA11" s="72">
        <f t="shared" si="0"/>
        <v>97.573183679660247</v>
      </c>
      <c r="AB11" s="72">
        <f t="shared" si="0"/>
        <v>98.02067946824225</v>
      </c>
      <c r="AC11" s="72">
        <f t="shared" si="0"/>
        <v>98.497424155695484</v>
      </c>
      <c r="AD11" s="72">
        <f t="shared" si="0"/>
        <v>98.48015346023314</v>
      </c>
      <c r="AE11" s="72">
        <f t="shared" si="0"/>
        <v>98.969830757910231</v>
      </c>
      <c r="AF11" s="72">
        <f t="shared" si="1"/>
        <v>99.357896346124448</v>
      </c>
      <c r="AG11" s="73">
        <v>99.24558587479936</v>
      </c>
      <c r="AH11" s="73">
        <v>99.315601182143411</v>
      </c>
      <c r="AI11" s="88">
        <v>15.197751455531016</v>
      </c>
      <c r="AJ11" s="88">
        <v>15.197751455531016</v>
      </c>
      <c r="AK11" s="88">
        <v>15.197751455531016</v>
      </c>
      <c r="AL11" s="88">
        <v>15.197751455531016</v>
      </c>
      <c r="AM11" s="89">
        <v>15.197751455531016</v>
      </c>
      <c r="AN11" s="88">
        <v>15.197751455531016</v>
      </c>
      <c r="AO11" s="27">
        <v>10.273192942515653</v>
      </c>
      <c r="AP11" s="27">
        <v>7.7709343467435463</v>
      </c>
      <c r="AQ11" s="27">
        <v>6.3046108347896226</v>
      </c>
      <c r="AR11" s="27">
        <v>5.5128025745067859</v>
      </c>
      <c r="AS11" s="27">
        <v>3.4161921955283989</v>
      </c>
      <c r="AT11" s="27">
        <v>4.2425786724423498</v>
      </c>
      <c r="AU11" s="27">
        <v>3.528619528619529</v>
      </c>
      <c r="AV11" s="27">
        <v>2.8169014084507045</v>
      </c>
      <c r="AW11" s="27">
        <v>10.584457289659602</v>
      </c>
      <c r="AX11" s="27"/>
      <c r="AY11" s="70"/>
      <c r="AZ11" s="59">
        <v>2.7030440823544271</v>
      </c>
      <c r="BA11" s="70">
        <v>3.1447335185652943</v>
      </c>
      <c r="BB11" s="70">
        <v>2.5475236001551793</v>
      </c>
      <c r="BC11" s="70">
        <v>2.3676880222841223</v>
      </c>
      <c r="BD11" s="70">
        <v>2.3062598481592893</v>
      </c>
      <c r="BE11" s="70">
        <v>2.4268163203397544</v>
      </c>
      <c r="BF11" s="70">
        <v>1.9793205317577549</v>
      </c>
      <c r="BG11" s="70">
        <v>1.5025758443045221</v>
      </c>
      <c r="BH11" s="59">
        <v>1.5198465397668586</v>
      </c>
      <c r="BI11" s="59">
        <v>1.0301692420897735</v>
      </c>
      <c r="BJ11" s="59">
        <v>0.64210365387555868</v>
      </c>
      <c r="BK11" s="59">
        <v>0.75441412520064211</v>
      </c>
      <c r="BL11" s="59">
        <f t="shared" si="3"/>
        <v>0.6843988178565894</v>
      </c>
      <c r="BM11" s="88">
        <v>14.695844207990364</v>
      </c>
      <c r="BN11" s="88">
        <v>14.695844207990364</v>
      </c>
      <c r="BO11" s="88">
        <v>14.695844207990364</v>
      </c>
      <c r="BP11" s="88">
        <v>14.695844207990364</v>
      </c>
      <c r="BQ11" s="89">
        <v>14.695844207990364</v>
      </c>
      <c r="BR11" s="88">
        <v>14.695844207990364</v>
      </c>
      <c r="BS11" s="27">
        <v>6.2891291974957308</v>
      </c>
      <c r="BT11" s="27">
        <v>4.9796881142707372</v>
      </c>
      <c r="BU11" s="27">
        <v>4.893130797150155</v>
      </c>
      <c r="BV11" s="27">
        <v>4.6872813768014554</v>
      </c>
      <c r="BW11" s="27">
        <v>3.013470351340092</v>
      </c>
      <c r="BX11" s="27">
        <v>3.860364377627723</v>
      </c>
      <c r="BY11" s="27">
        <v>2.7070707070707072</v>
      </c>
      <c r="BZ11" s="27">
        <v>2.6212832550860719</v>
      </c>
      <c r="CA11" s="27">
        <v>2.6204238921001926</v>
      </c>
      <c r="CB11" s="27">
        <v>2.7526543452615022</v>
      </c>
      <c r="CC11" s="70">
        <f>(224/8036)*100</f>
        <v>2.7874564459930316</v>
      </c>
      <c r="CD11" s="70">
        <f>(192/7917)*100</f>
        <v>2.4251610458507011</v>
      </c>
      <c r="CE11" s="70">
        <f>(231/7918)*100</f>
        <v>2.9174033846931047</v>
      </c>
      <c r="CF11" s="70">
        <f>(185/7733)*100</f>
        <v>2.3923444976076556</v>
      </c>
      <c r="CG11" s="70">
        <f>(146/7180)*100</f>
        <v>2.0334261838440111</v>
      </c>
      <c r="CH11" s="70">
        <v>2.0484171322160147</v>
      </c>
      <c r="CI11" s="70">
        <v>2.1841346883057788</v>
      </c>
      <c r="CJ11" s="70">
        <v>1.7725258493353029</v>
      </c>
      <c r="CK11" s="70">
        <v>1.3451631368059531</v>
      </c>
      <c r="CL11" s="59">
        <v>1.3575328316364175</v>
      </c>
      <c r="CM11" s="59">
        <v>0.91243561442236942</v>
      </c>
      <c r="CN11" s="59">
        <v>2.419781202976941</v>
      </c>
      <c r="CO11" s="59">
        <v>0.6420545746388443</v>
      </c>
      <c r="CP11" s="59">
        <v>0.62218074350598851</v>
      </c>
      <c r="CQ11" s="59">
        <v>0.46151555754056867</v>
      </c>
      <c r="CR11" s="35">
        <v>21.031746031746032</v>
      </c>
      <c r="CS11" s="35">
        <v>6.5403965670316655</v>
      </c>
      <c r="CT11" s="35"/>
      <c r="CU11" s="35">
        <v>2.3404848147116191</v>
      </c>
      <c r="CV11" s="35">
        <v>2.1841346883057788</v>
      </c>
      <c r="CW11" s="11">
        <v>96.6</v>
      </c>
      <c r="CX11" s="35">
        <v>15.335560279380504</v>
      </c>
      <c r="CY11" s="35">
        <v>3.8890477552187588</v>
      </c>
      <c r="CZ11" s="35">
        <v>1.4940239043824701</v>
      </c>
      <c r="DA11" s="35">
        <v>1.0766219239373602</v>
      </c>
      <c r="DB11" s="35">
        <v>1.2000607625702568</v>
      </c>
      <c r="DC11" s="35">
        <v>2.3599999999999994</v>
      </c>
    </row>
    <row r="12" spans="1:107">
      <c r="A12" s="3" t="s">
        <v>665</v>
      </c>
      <c r="B12" s="3" t="s">
        <v>640</v>
      </c>
      <c r="C12" s="3">
        <v>4</v>
      </c>
      <c r="D12" s="3" t="s">
        <v>641</v>
      </c>
      <c r="E12" s="72">
        <f t="shared" si="2"/>
        <v>81.891590452821774</v>
      </c>
      <c r="F12" s="72">
        <f t="shared" si="0"/>
        <v>79.47265292213325</v>
      </c>
      <c r="G12" s="72">
        <f t="shared" si="0"/>
        <v>82.387221197383866</v>
      </c>
      <c r="H12" s="72">
        <f t="shared" si="0"/>
        <v>83.037812433240759</v>
      </c>
      <c r="I12" s="72">
        <f t="shared" si="0"/>
        <v>83.792792792792795</v>
      </c>
      <c r="J12" s="72">
        <f t="shared" si="0"/>
        <v>83.908746571465883</v>
      </c>
      <c r="K12" s="72">
        <f t="shared" si="0"/>
        <v>85.390439299234089</v>
      </c>
      <c r="L12" s="72">
        <f t="shared" si="0"/>
        <v>84.388557982204574</v>
      </c>
      <c r="M12" s="72">
        <f t="shared" si="0"/>
        <v>88.07641895380705</v>
      </c>
      <c r="N12" s="72">
        <f t="shared" si="0"/>
        <v>89.285407909410651</v>
      </c>
      <c r="O12" s="72">
        <f t="shared" si="0"/>
        <v>88.559176672384226</v>
      </c>
      <c r="P12" s="72">
        <f t="shared" si="0"/>
        <v>89.470859238717182</v>
      </c>
      <c r="Q12" s="72">
        <f t="shared" si="0"/>
        <v>90.78104993597951</v>
      </c>
      <c r="R12" s="72">
        <f t="shared" si="0"/>
        <v>90.364776759924069</v>
      </c>
      <c r="S12" s="72">
        <f t="shared" si="0"/>
        <v>92.533047516970342</v>
      </c>
      <c r="T12" s="72">
        <f t="shared" si="0"/>
        <v>93.893731657102805</v>
      </c>
      <c r="U12" s="72">
        <f t="shared" si="0"/>
        <v>94.28675695401833</v>
      </c>
      <c r="V12" s="72">
        <f t="shared" si="0"/>
        <v>95.515653346978652</v>
      </c>
      <c r="W12" s="72">
        <f t="shared" si="0"/>
        <v>95.998354924943456</v>
      </c>
      <c r="X12" s="72">
        <f t="shared" si="0"/>
        <v>96.970557606740513</v>
      </c>
      <c r="Y12" s="72">
        <f t="shared" si="0"/>
        <v>95.968308484895786</v>
      </c>
      <c r="Z12" s="72">
        <f t="shared" si="0"/>
        <v>96.565378324868732</v>
      </c>
      <c r="AA12" s="72">
        <f t="shared" si="0"/>
        <v>97.328733366190235</v>
      </c>
      <c r="AB12" s="72">
        <f t="shared" si="0"/>
        <v>97.500259309200288</v>
      </c>
      <c r="AC12" s="72">
        <f t="shared" si="0"/>
        <v>98.119634827633192</v>
      </c>
      <c r="AD12" s="72">
        <f t="shared" si="0"/>
        <v>97.444869020763321</v>
      </c>
      <c r="AE12" s="72">
        <f t="shared" si="0"/>
        <v>95.979789103690678</v>
      </c>
      <c r="AF12" s="72">
        <f t="shared" si="1"/>
        <v>96.795314978242303</v>
      </c>
      <c r="AG12" s="73">
        <v>98.154998195597258</v>
      </c>
      <c r="AH12" s="73">
        <v>97.512703931532499</v>
      </c>
      <c r="AI12" s="27">
        <v>18.108409547178226</v>
      </c>
      <c r="AJ12" s="27">
        <v>20.527347077866757</v>
      </c>
      <c r="AK12" s="27">
        <v>17.612778802616134</v>
      </c>
      <c r="AL12" s="27">
        <v>16.962187566759241</v>
      </c>
      <c r="AM12" s="87">
        <v>16.207207207207208</v>
      </c>
      <c r="AN12" s="27">
        <v>16.09125342853411</v>
      </c>
      <c r="AO12" s="27">
        <v>14.609560700765911</v>
      </c>
      <c r="AP12" s="27">
        <v>15.611442017795426</v>
      </c>
      <c r="AQ12" s="27">
        <v>11.923581046192954</v>
      </c>
      <c r="AR12" s="27">
        <v>10.714592090589345</v>
      </c>
      <c r="AS12" s="27">
        <v>11.44082332761578</v>
      </c>
      <c r="AT12" s="27">
        <v>10.52914076128282</v>
      </c>
      <c r="AU12" s="27">
        <v>9.2189500640204862</v>
      </c>
      <c r="AV12" s="27">
        <v>9.635223240075927</v>
      </c>
      <c r="AW12" s="27">
        <v>7.4669524830296545</v>
      </c>
      <c r="AX12" s="27">
        <v>6.1062683428971916</v>
      </c>
      <c r="AY12" s="70">
        <v>5.7132430459816721</v>
      </c>
      <c r="AZ12" s="59">
        <v>4.484346653021352</v>
      </c>
      <c r="BA12" s="70">
        <v>4.0016450750565493</v>
      </c>
      <c r="BB12" s="70">
        <v>3.0294423932594907</v>
      </c>
      <c r="BC12" s="70">
        <v>4.0316915151042076</v>
      </c>
      <c r="BD12" s="70">
        <v>3.4346216751312735</v>
      </c>
      <c r="BE12" s="70">
        <v>2.6712666338097586</v>
      </c>
      <c r="BF12" s="70">
        <v>2.49974069079971</v>
      </c>
      <c r="BG12" s="70">
        <v>1.8803651723668073</v>
      </c>
      <c r="BH12" s="59">
        <v>2.5551309792366834</v>
      </c>
      <c r="BI12" s="59">
        <v>4.0202108963093171</v>
      </c>
      <c r="BJ12" s="59">
        <v>3.2046850217576917</v>
      </c>
      <c r="BK12" s="59">
        <v>1.8450018044027425</v>
      </c>
      <c r="BL12" s="59">
        <f t="shared" si="3"/>
        <v>2.4872960684675007</v>
      </c>
      <c r="BM12" s="27">
        <v>16.988623689493643</v>
      </c>
      <c r="BN12" s="27">
        <v>17.328335321179075</v>
      </c>
      <c r="BO12" s="27">
        <v>14.602549052490357</v>
      </c>
      <c r="BP12" s="27">
        <v>14.325998718222602</v>
      </c>
      <c r="BQ12" s="87">
        <v>13.842342342342343</v>
      </c>
      <c r="BR12" s="27">
        <v>14.571814184335407</v>
      </c>
      <c r="BS12" s="27">
        <v>13.539924289109956</v>
      </c>
      <c r="BT12" s="27">
        <v>13.728950658136627</v>
      </c>
      <c r="BU12" s="27">
        <v>10.283194979544822</v>
      </c>
      <c r="BV12" s="27">
        <v>9.6208286866260622</v>
      </c>
      <c r="BW12" s="27">
        <v>8.9451114922813026</v>
      </c>
      <c r="BX12" s="27">
        <v>8.3016504897794867</v>
      </c>
      <c r="BY12" s="27">
        <v>7.042253521126761</v>
      </c>
      <c r="BZ12" s="27">
        <v>6.7838573904431794</v>
      </c>
      <c r="CA12" s="27">
        <v>5.4349767774205073</v>
      </c>
      <c r="CB12" s="27">
        <v>4.9673660694730382</v>
      </c>
      <c r="CC12" s="70">
        <f>(1008/24662)*100</f>
        <v>4.0872597518449441</v>
      </c>
      <c r="CD12" s="70">
        <f>(927/21497)*100</f>
        <v>4.3122296134344325</v>
      </c>
      <c r="CE12" s="70">
        <f>(930/24315)*100</f>
        <v>3.8247995064774831</v>
      </c>
      <c r="CF12" s="70">
        <f>(606/21126)*100</f>
        <v>2.86850326611758</v>
      </c>
      <c r="CG12" s="70">
        <f>(990/25622)*100</f>
        <v>3.8638669893060653</v>
      </c>
      <c r="CH12" s="70">
        <v>2.9913058448824996</v>
      </c>
      <c r="CI12" s="70">
        <v>2.1784130113356333</v>
      </c>
      <c r="CJ12" s="70">
        <v>1.7996058500155585</v>
      </c>
      <c r="CK12" s="70">
        <v>1.1581959395012946</v>
      </c>
      <c r="CL12" s="59">
        <v>1.8553473596979879</v>
      </c>
      <c r="CM12" s="59">
        <v>3.2469244288224961</v>
      </c>
      <c r="CN12" s="59">
        <v>0.15489467162329618</v>
      </c>
      <c r="CO12" s="59">
        <v>1.6961385781306386</v>
      </c>
      <c r="CP12" s="59">
        <v>2.6522243023981456</v>
      </c>
      <c r="CQ12" s="59">
        <v>1.2875349162011174</v>
      </c>
      <c r="CR12" s="35">
        <v>27.59694310784036</v>
      </c>
      <c r="CS12" s="35">
        <v>13.658969804618119</v>
      </c>
      <c r="CT12" s="35">
        <v>4.2495367510809148</v>
      </c>
      <c r="CU12" s="35">
        <v>3.9867239359625146</v>
      </c>
      <c r="CV12" s="35">
        <v>2.1806699886526224</v>
      </c>
      <c r="CW12" s="11">
        <v>88.6</v>
      </c>
      <c r="CX12" s="35">
        <v>22.572915805998512</v>
      </c>
      <c r="CY12" s="35">
        <v>11.014556682840759</v>
      </c>
      <c r="CZ12" s="35">
        <v>3.037468911811473</v>
      </c>
      <c r="DA12" s="35">
        <v>3.267411865864144</v>
      </c>
      <c r="DB12" s="35">
        <v>2.0566569436891284</v>
      </c>
      <c r="DC12" s="35">
        <v>2.2600000000000051</v>
      </c>
    </row>
    <row r="13" spans="1:107">
      <c r="A13" s="3" t="s">
        <v>539</v>
      </c>
      <c r="B13" s="3" t="s">
        <v>540</v>
      </c>
      <c r="C13" s="3">
        <v>5</v>
      </c>
      <c r="D13" s="3" t="s">
        <v>541</v>
      </c>
      <c r="E13" s="72">
        <f t="shared" si="2"/>
        <v>96.448645886561067</v>
      </c>
      <c r="F13" s="72">
        <f t="shared" si="0"/>
        <v>97.132361654224439</v>
      </c>
      <c r="G13" s="72">
        <f t="shared" si="0"/>
        <v>99.099504727600177</v>
      </c>
      <c r="H13" s="72">
        <f t="shared" si="0"/>
        <v>98.946175637393765</v>
      </c>
      <c r="I13" s="72">
        <f t="shared" si="0"/>
        <v>98.946175637393765</v>
      </c>
      <c r="J13" s="72">
        <f t="shared" si="0"/>
        <v>98.946175637393765</v>
      </c>
      <c r="K13" s="72">
        <f t="shared" si="0"/>
        <v>99.021392808375055</v>
      </c>
      <c r="L13" s="72">
        <f t="shared" si="0"/>
        <v>97.537635663437968</v>
      </c>
      <c r="M13" s="72">
        <f t="shared" si="0"/>
        <v>97.770700636942678</v>
      </c>
      <c r="N13" s="72">
        <f t="shared" si="0"/>
        <v>99.310590752406995</v>
      </c>
      <c r="O13" s="72">
        <f t="shared" si="0"/>
        <v>99.204545454545453</v>
      </c>
      <c r="P13" s="72">
        <f t="shared" si="0"/>
        <v>99.300057372346529</v>
      </c>
      <c r="Q13" s="72">
        <f t="shared" si="0"/>
        <v>99.191125491102383</v>
      </c>
      <c r="R13" s="72">
        <f t="shared" si="0"/>
        <v>99.530139812055921</v>
      </c>
      <c r="S13" s="72">
        <f t="shared" si="0"/>
        <v>99.475002982937596</v>
      </c>
      <c r="T13" s="72">
        <f t="shared" si="0"/>
        <v>99.611036829950166</v>
      </c>
      <c r="U13" s="72">
        <f t="shared" si="0"/>
        <v>99.583959320466889</v>
      </c>
      <c r="V13" s="72">
        <f t="shared" si="0"/>
        <v>99.679258731290091</v>
      </c>
      <c r="W13" s="72">
        <f t="shared" si="0"/>
        <v>99.673940305994478</v>
      </c>
      <c r="X13" s="72">
        <f t="shared" si="0"/>
        <v>99.545845096354483</v>
      </c>
      <c r="Y13" s="72">
        <f t="shared" si="0"/>
        <v>99.763844609753221</v>
      </c>
      <c r="Z13" s="72">
        <f t="shared" si="0"/>
        <v>99.6952648851383</v>
      </c>
      <c r="AA13" s="72">
        <f t="shared" si="0"/>
        <v>99.788583509513742</v>
      </c>
      <c r="AB13" s="72">
        <f t="shared" si="0"/>
        <v>99.814106068890098</v>
      </c>
      <c r="AC13" s="72">
        <f t="shared" si="0"/>
        <v>99.785692417593637</v>
      </c>
      <c r="AD13" s="72">
        <f t="shared" si="0"/>
        <v>99.797221940586027</v>
      </c>
      <c r="AE13" s="72">
        <f t="shared" si="0"/>
        <v>99.827708523360698</v>
      </c>
      <c r="AF13" s="72">
        <f t="shared" si="1"/>
        <v>99.783147459727388</v>
      </c>
      <c r="AG13" s="73">
        <v>99.769512833944475</v>
      </c>
      <c r="AH13" s="73">
        <v>99.68149696426795</v>
      </c>
      <c r="AI13" s="27">
        <v>3.5513541134389373</v>
      </c>
      <c r="AJ13" s="27">
        <v>2.8676383457755659</v>
      </c>
      <c r="AK13" s="27">
        <v>0.90049527239981986</v>
      </c>
      <c r="AL13" s="27">
        <v>1.0538243626062322</v>
      </c>
      <c r="AM13" s="89">
        <v>1.0538243626062322</v>
      </c>
      <c r="AN13" s="88">
        <v>1.0538243626062322</v>
      </c>
      <c r="AO13" s="88">
        <v>0.97860719162494303</v>
      </c>
      <c r="AP13" s="88">
        <v>2.4623643365620262</v>
      </c>
      <c r="AQ13" s="27">
        <v>2.2292993630573248</v>
      </c>
      <c r="AR13" s="27">
        <v>0.68940924759301081</v>
      </c>
      <c r="AS13" s="27">
        <v>0.79545454545454541</v>
      </c>
      <c r="AT13" s="27">
        <v>0.69994262765347104</v>
      </c>
      <c r="AU13" s="27">
        <v>0.80887450889761958</v>
      </c>
      <c r="AV13" s="27">
        <v>0.46986018794407519</v>
      </c>
      <c r="AW13" s="27">
        <v>0.52499701706240298</v>
      </c>
      <c r="AX13" s="27">
        <v>0.38896317004983594</v>
      </c>
      <c r="AY13" s="70">
        <v>0.41604067953310991</v>
      </c>
      <c r="AZ13" s="59">
        <v>0.32074126870990738</v>
      </c>
      <c r="BA13" s="70">
        <v>0.32605969400551793</v>
      </c>
      <c r="BB13" s="70">
        <v>0.45415490364551375</v>
      </c>
      <c r="BC13" s="70">
        <v>0.23615539024678237</v>
      </c>
      <c r="BD13" s="70">
        <v>0.30473511486169713</v>
      </c>
      <c r="BE13" s="70">
        <v>0.21141649048625794</v>
      </c>
      <c r="BF13" s="70">
        <v>0.18589393110989613</v>
      </c>
      <c r="BG13" s="70">
        <v>0.21430758240636802</v>
      </c>
      <c r="BH13" s="59">
        <v>0.20277805941397142</v>
      </c>
      <c r="BI13" s="59">
        <v>0.17229147663930799</v>
      </c>
      <c r="BJ13" s="59">
        <v>0.21685254027261625</v>
      </c>
      <c r="BK13" s="59">
        <v>0.23048716605552647</v>
      </c>
      <c r="BL13" s="59">
        <f t="shared" si="3"/>
        <v>0.31850303573204997</v>
      </c>
      <c r="BM13" s="27">
        <v>1.992846193152785</v>
      </c>
      <c r="BN13" s="27">
        <v>1.872259746415452</v>
      </c>
      <c r="BO13" s="27">
        <v>0.8329581269698334</v>
      </c>
      <c r="BP13" s="27">
        <v>0.98583569405099147</v>
      </c>
      <c r="BQ13" s="89">
        <v>0.98583569405099147</v>
      </c>
      <c r="BR13" s="88">
        <v>0.98583569405099147</v>
      </c>
      <c r="BS13" s="88">
        <v>0.93309057806099227</v>
      </c>
      <c r="BT13" s="88">
        <v>0.73520830902088918</v>
      </c>
      <c r="BU13" s="27">
        <v>0.77168054875061243</v>
      </c>
      <c r="BV13" s="27">
        <v>0.62997741590395817</v>
      </c>
      <c r="BW13" s="27">
        <v>0.68181818181818177</v>
      </c>
      <c r="BX13" s="27">
        <v>0.56224899598393574</v>
      </c>
      <c r="BY13" s="27">
        <v>0.42754795470302748</v>
      </c>
      <c r="BZ13" s="27">
        <v>0.37818015127206051</v>
      </c>
      <c r="CA13" s="27">
        <v>0.41761126357236605</v>
      </c>
      <c r="CB13" s="27">
        <v>0.31603257566549164</v>
      </c>
      <c r="CC13" s="70">
        <f>(29/8653)*100</f>
        <v>0.33514388073500517</v>
      </c>
      <c r="CD13" s="70">
        <f>(20/8418)*100</f>
        <v>0.23758612497030174</v>
      </c>
      <c r="CE13" s="70">
        <f>(19/7974)*100</f>
        <v>0.23827439177326309</v>
      </c>
      <c r="CF13" s="70">
        <f>(27/8147)*100</f>
        <v>0.33141033509267215</v>
      </c>
      <c r="CG13" s="70">
        <f>(16/8469)*100</f>
        <v>0.18892431219742592</v>
      </c>
      <c r="CH13" s="70">
        <v>0.19924988279418657</v>
      </c>
      <c r="CI13" s="70">
        <v>0.15578057193724268</v>
      </c>
      <c r="CJ13" s="70">
        <v>0.13121924548933844</v>
      </c>
      <c r="CK13" s="70">
        <v>0.19389733646290438</v>
      </c>
      <c r="CL13" s="59">
        <v>0.16222244753117712</v>
      </c>
      <c r="CM13" s="59">
        <v>0.12161751292186075</v>
      </c>
      <c r="CN13" s="59">
        <v>0.2917724883350068</v>
      </c>
      <c r="CO13" s="59">
        <v>0.19905709795704557</v>
      </c>
      <c r="CP13" s="59">
        <v>0.14929829799940281</v>
      </c>
      <c r="CQ13" s="59">
        <v>5.1114291555919032E-2</v>
      </c>
      <c r="CR13" s="35">
        <v>3.218001451729978</v>
      </c>
      <c r="CS13" s="35">
        <v>0.93351548269581064</v>
      </c>
      <c r="CT13" s="35">
        <v>0.40453074433656955</v>
      </c>
      <c r="CU13" s="35">
        <v>0.23615539024678237</v>
      </c>
      <c r="CV13" s="35">
        <v>0.15578057193724268</v>
      </c>
      <c r="CW13" s="11">
        <v>99.2</v>
      </c>
      <c r="CX13" s="35">
        <v>2.2600918540004833</v>
      </c>
      <c r="CY13" s="35">
        <v>0.79753902244502684</v>
      </c>
      <c r="CZ13" s="35">
        <v>0.24277456647398846</v>
      </c>
      <c r="DA13" s="35">
        <v>7.084661707403471E-2</v>
      </c>
      <c r="DB13" s="35">
        <v>4.4508734839212194E-2</v>
      </c>
      <c r="DC13" s="35">
        <v>9.0000000000003411E-2</v>
      </c>
    </row>
    <row r="14" spans="1:107">
      <c r="A14" s="3" t="s">
        <v>542</v>
      </c>
      <c r="B14" s="3" t="s">
        <v>543</v>
      </c>
      <c r="C14" s="3">
        <v>6</v>
      </c>
      <c r="D14" s="3" t="s">
        <v>759</v>
      </c>
      <c r="E14" s="72">
        <f t="shared" si="2"/>
        <v>97.169774820088222</v>
      </c>
      <c r="F14" s="72">
        <f t="shared" si="0"/>
        <v>98.734518558468324</v>
      </c>
      <c r="G14" s="72">
        <f t="shared" si="0"/>
        <v>99.004956924146256</v>
      </c>
      <c r="H14" s="72">
        <f t="shared" si="0"/>
        <v>98.76426035952241</v>
      </c>
      <c r="I14" s="72">
        <f t="shared" si="0"/>
        <v>99.316198135759691</v>
      </c>
      <c r="J14" s="72">
        <f t="shared" si="0"/>
        <v>99.212657328271405</v>
      </c>
      <c r="K14" s="72">
        <f t="shared" si="0"/>
        <v>99.26000851788757</v>
      </c>
      <c r="L14" s="72">
        <f t="shared" si="0"/>
        <v>99.309748261130537</v>
      </c>
      <c r="M14" s="72">
        <f t="shared" si="0"/>
        <v>99.59851191572433</v>
      </c>
      <c r="N14" s="72">
        <f t="shared" si="0"/>
        <v>99.562949640287769</v>
      </c>
      <c r="O14" s="72">
        <f t="shared" si="0"/>
        <v>99.611214153231558</v>
      </c>
      <c r="P14" s="72">
        <f t="shared" si="0"/>
        <v>99.292065152420804</v>
      </c>
      <c r="Q14" s="72">
        <f t="shared" si="0"/>
        <v>98.729569364056644</v>
      </c>
      <c r="R14" s="72">
        <f t="shared" si="0"/>
        <v>99.368624692226518</v>
      </c>
      <c r="S14" s="72">
        <f t="shared" si="0"/>
        <v>99.654811523419568</v>
      </c>
      <c r="T14" s="72">
        <f t="shared" si="0"/>
        <v>98.640855908475643</v>
      </c>
      <c r="U14" s="72">
        <f t="shared" si="0"/>
        <v>99.65345704544184</v>
      </c>
      <c r="V14" s="72">
        <f t="shared" si="0"/>
        <v>99.668232237433799</v>
      </c>
      <c r="W14" s="72">
        <f t="shared" si="0"/>
        <v>99.534690171748508</v>
      </c>
      <c r="X14" s="72">
        <f t="shared" si="0"/>
        <v>99.202353942144072</v>
      </c>
      <c r="Y14" s="72">
        <f t="shared" si="0"/>
        <v>99.232573379781329</v>
      </c>
      <c r="Z14" s="72">
        <f t="shared" si="0"/>
        <v>98.811602465880341</v>
      </c>
      <c r="AA14" s="72">
        <f t="shared" si="0"/>
        <v>99.049881235154388</v>
      </c>
      <c r="AB14" s="72">
        <f t="shared" si="0"/>
        <v>99.402935719140956</v>
      </c>
      <c r="AC14" s="72">
        <f t="shared" si="0"/>
        <v>99.431595118204314</v>
      </c>
      <c r="AD14" s="72">
        <f t="shared" si="0"/>
        <v>99.737568359209661</v>
      </c>
      <c r="AE14" s="72">
        <f t="shared" si="0"/>
        <v>99.650750714762623</v>
      </c>
      <c r="AF14" s="72">
        <f t="shared" si="1"/>
        <v>99.71084754566705</v>
      </c>
      <c r="AG14" s="73">
        <v>99.540876001606065</v>
      </c>
      <c r="AH14" s="73">
        <v>99.597788723909417</v>
      </c>
      <c r="AI14" s="27">
        <v>2.830225179911785</v>
      </c>
      <c r="AJ14" s="27">
        <v>1.2654814415316755</v>
      </c>
      <c r="AK14" s="27">
        <v>0.99504307585374319</v>
      </c>
      <c r="AL14" s="27">
        <v>1.2357396404775915</v>
      </c>
      <c r="AM14" s="87">
        <v>0.68380186424031286</v>
      </c>
      <c r="AN14" s="27">
        <v>0.78734267172860062</v>
      </c>
      <c r="AO14" s="27">
        <v>0.73999148211243604</v>
      </c>
      <c r="AP14" s="27">
        <v>0.69025173886947</v>
      </c>
      <c r="AQ14" s="27">
        <v>0.4014880842756639</v>
      </c>
      <c r="AR14" s="27">
        <v>0.43705035971223027</v>
      </c>
      <c r="AS14" s="27">
        <v>0.38878584676844058</v>
      </c>
      <c r="AT14" s="27">
        <v>0.707934847579199</v>
      </c>
      <c r="AU14" s="27">
        <v>1.2704306359433584</v>
      </c>
      <c r="AV14" s="27">
        <v>0.63137530777347872</v>
      </c>
      <c r="AW14" s="27">
        <v>0.34518847658043078</v>
      </c>
      <c r="AX14" s="27">
        <v>1.3591440915243553</v>
      </c>
      <c r="AY14" s="70">
        <v>0.3465429545581577</v>
      </c>
      <c r="AZ14" s="59">
        <v>0.33176776256620366</v>
      </c>
      <c r="BA14" s="70">
        <v>0.46530982825149425</v>
      </c>
      <c r="BB14" s="70">
        <v>0.79764605785592746</v>
      </c>
      <c r="BC14" s="70">
        <v>0.76742662021867347</v>
      </c>
      <c r="BD14" s="70">
        <v>1.1883975341196593</v>
      </c>
      <c r="BE14" s="70">
        <v>0.95011876484560576</v>
      </c>
      <c r="BF14" s="70">
        <v>0.59706428085903773</v>
      </c>
      <c r="BG14" s="70">
        <v>0.56840488179568149</v>
      </c>
      <c r="BH14" s="59">
        <v>0.26243164079034254</v>
      </c>
      <c r="BI14" s="59">
        <v>0.34924928523737409</v>
      </c>
      <c r="BJ14" s="59">
        <v>0.28915245433295267</v>
      </c>
      <c r="BK14" s="59">
        <v>0.45912399839393886</v>
      </c>
      <c r="BL14" s="59">
        <f t="shared" si="3"/>
        <v>0.40221127609058271</v>
      </c>
      <c r="BM14" s="27">
        <v>1.1684593360674767</v>
      </c>
      <c r="BN14" s="27">
        <v>0.93418340813221112</v>
      </c>
      <c r="BO14" s="27">
        <v>0.79749775932395606</v>
      </c>
      <c r="BP14" s="27">
        <v>1.1104572806135038</v>
      </c>
      <c r="BQ14" s="87">
        <v>0.55593647499212417</v>
      </c>
      <c r="BR14" s="27">
        <v>0.53860971367657229</v>
      </c>
      <c r="BS14" s="27">
        <v>0.2981260647359455</v>
      </c>
      <c r="BT14" s="27">
        <v>0.35660064258729651</v>
      </c>
      <c r="BU14" s="27">
        <v>0.24310287671737446</v>
      </c>
      <c r="BV14" s="27">
        <v>0.19244604316546762</v>
      </c>
      <c r="BW14" s="27">
        <v>0.26037951205592808</v>
      </c>
      <c r="BX14" s="27">
        <v>0.18492229527794382</v>
      </c>
      <c r="BY14" s="27">
        <v>0.1365075898219941</v>
      </c>
      <c r="BZ14" s="27">
        <v>0.20928596552937037</v>
      </c>
      <c r="CA14" s="27">
        <v>0.13036373317665204</v>
      </c>
      <c r="CB14" s="27">
        <v>9.4565277855036989E-2</v>
      </c>
      <c r="CC14" s="70">
        <f>(95/53673)*100</f>
        <v>0.17699774560766121</v>
      </c>
      <c r="CD14" s="70">
        <f>(50/50035)*100</f>
        <v>9.9930048965723994E-2</v>
      </c>
      <c r="CE14" s="70">
        <f>(53/52868)*100</f>
        <v>0.10024967844442763</v>
      </c>
      <c r="CF14" s="70">
        <f>(69/56416)*100</f>
        <v>0.12230572887124221</v>
      </c>
      <c r="CG14" s="70">
        <f>(102/57986)*100</f>
        <v>0.1759045286793364</v>
      </c>
      <c r="CH14" s="70">
        <v>0.21914977015999715</v>
      </c>
      <c r="CI14" s="70">
        <v>0.37273890005481453</v>
      </c>
      <c r="CJ14" s="70">
        <v>0.17820072382562049</v>
      </c>
      <c r="CK14" s="70">
        <v>0.18434752923103184</v>
      </c>
      <c r="CL14" s="59">
        <v>0.20147977583258553</v>
      </c>
      <c r="CM14" s="59">
        <v>0.25851295132766089</v>
      </c>
      <c r="CN14" s="59">
        <v>0.22508873690589556</v>
      </c>
      <c r="CO14" s="59">
        <v>0.37358378576541035</v>
      </c>
      <c r="CP14" s="59">
        <v>0.23034125943513237</v>
      </c>
      <c r="CQ14" s="59">
        <v>0.46837623994245664</v>
      </c>
      <c r="CR14" s="35">
        <v>2.2917317233961345</v>
      </c>
      <c r="CS14" s="35">
        <v>0.2992945200598589</v>
      </c>
      <c r="CT14" s="35">
        <v>0.23873915881749511</v>
      </c>
      <c r="CU14" s="35">
        <v>0.29457122558957566</v>
      </c>
      <c r="CV14" s="35">
        <v>0.37434627030002748</v>
      </c>
      <c r="CW14" s="11">
        <v>99.6</v>
      </c>
      <c r="CX14" s="35">
        <v>0.77368767997779553</v>
      </c>
      <c r="CY14" s="35">
        <v>0.12779099073515315</v>
      </c>
      <c r="CZ14" s="35">
        <v>2.4221646699334836E-2</v>
      </c>
      <c r="DA14" s="35">
        <v>5.534417156693186E-2</v>
      </c>
      <c r="DB14" s="35">
        <v>2.5599297847830459E-2</v>
      </c>
      <c r="DC14" s="35">
        <v>6.0000000000002274E-2</v>
      </c>
    </row>
    <row r="15" spans="1:107">
      <c r="A15" s="3" t="s">
        <v>628</v>
      </c>
      <c r="B15" s="3" t="s">
        <v>629</v>
      </c>
      <c r="C15" s="3">
        <v>7</v>
      </c>
      <c r="D15" s="3" t="s">
        <v>641</v>
      </c>
      <c r="E15" s="72">
        <f t="shared" si="2"/>
        <v>85.192993023139081</v>
      </c>
      <c r="F15" s="72">
        <f t="shared" si="0"/>
        <v>85.915635261429657</v>
      </c>
      <c r="G15" s="72">
        <f t="shared" si="0"/>
        <v>88.74881388098143</v>
      </c>
      <c r="H15" s="72">
        <f t="shared" si="0"/>
        <v>91.227440525020512</v>
      </c>
      <c r="I15" s="72">
        <f t="shared" si="0"/>
        <v>89.809183341845028</v>
      </c>
      <c r="J15" s="72">
        <f t="shared" si="0"/>
        <v>90.799373040752357</v>
      </c>
      <c r="K15" s="72">
        <f t="shared" si="0"/>
        <v>91.276300119094884</v>
      </c>
      <c r="L15" s="72">
        <f t="shared" si="0"/>
        <v>92.467948717948715</v>
      </c>
      <c r="M15" s="72">
        <f t="shared" si="0"/>
        <v>92.311651848385594</v>
      </c>
      <c r="N15" s="72">
        <f t="shared" si="0"/>
        <v>93.565976008724107</v>
      </c>
      <c r="O15" s="72">
        <f t="shared" si="0"/>
        <v>95.509110909177863</v>
      </c>
      <c r="P15" s="72">
        <f t="shared" si="0"/>
        <v>96.608116293155661</v>
      </c>
      <c r="Q15" s="72">
        <f t="shared" si="0"/>
        <v>98.109958048134246</v>
      </c>
      <c r="R15" s="72">
        <f t="shared" si="0"/>
        <v>97.377423033067274</v>
      </c>
      <c r="S15" s="72">
        <f t="shared" si="0"/>
        <v>98.346744053115245</v>
      </c>
      <c r="T15" s="72">
        <f t="shared" si="0"/>
        <v>98.296503099417976</v>
      </c>
      <c r="U15" s="72">
        <f t="shared" si="0"/>
        <v>98.659749243406836</v>
      </c>
      <c r="V15" s="72">
        <f t="shared" si="0"/>
        <v>98.64858271942235</v>
      </c>
      <c r="W15" s="72">
        <f t="shared" si="0"/>
        <v>98.43778301032421</v>
      </c>
      <c r="X15" s="72">
        <f t="shared" si="0"/>
        <v>98.604257718877761</v>
      </c>
      <c r="Y15" s="72">
        <f t="shared" si="0"/>
        <v>98.463636363636368</v>
      </c>
      <c r="Z15" s="72">
        <f t="shared" si="0"/>
        <v>98.833745645478871</v>
      </c>
      <c r="AA15" s="72">
        <f t="shared" si="0"/>
        <v>99.179044018363484</v>
      </c>
      <c r="AB15" s="72">
        <f t="shared" si="0"/>
        <v>99.204006325777542</v>
      </c>
      <c r="AC15" s="72">
        <f t="shared" si="0"/>
        <v>99.332027522475016</v>
      </c>
      <c r="AD15" s="72">
        <f t="shared" si="0"/>
        <v>98.984220907297825</v>
      </c>
      <c r="AE15" s="72">
        <f t="shared" si="0"/>
        <v>99.513058875608678</v>
      </c>
      <c r="AF15" s="72">
        <f t="shared" si="1"/>
        <v>99.557989814547895</v>
      </c>
      <c r="AG15" s="73">
        <v>99.666871668716681</v>
      </c>
      <c r="AH15" s="73">
        <v>99.682075090835681</v>
      </c>
      <c r="AI15" s="27">
        <v>14.807006976860915</v>
      </c>
      <c r="AJ15" s="27">
        <v>14.084364738570345</v>
      </c>
      <c r="AK15" s="27">
        <v>11.251186119018572</v>
      </c>
      <c r="AL15" s="27">
        <v>8.7725594749794915</v>
      </c>
      <c r="AM15" s="87">
        <v>10.190816658154974</v>
      </c>
      <c r="AN15" s="27">
        <v>9.2006269592476482</v>
      </c>
      <c r="AO15" s="27">
        <v>8.7236998809051212</v>
      </c>
      <c r="AP15" s="27">
        <v>7.5320512820512819</v>
      </c>
      <c r="AQ15" s="27">
        <v>7.688348151614413</v>
      </c>
      <c r="AR15" s="27">
        <v>6.4340239912759003</v>
      </c>
      <c r="AS15" s="27">
        <v>4.4908890908221339</v>
      </c>
      <c r="AT15" s="27">
        <v>3.3918837068443368</v>
      </c>
      <c r="AU15" s="27">
        <v>1.8900419518657539</v>
      </c>
      <c r="AV15" s="27">
        <v>2.6225769669327255</v>
      </c>
      <c r="AW15" s="27">
        <v>1.6532559468847556</v>
      </c>
      <c r="AX15" s="27">
        <v>1.7034969005820282</v>
      </c>
      <c r="AY15" s="70">
        <v>1.3402507565931689</v>
      </c>
      <c r="AZ15" s="59">
        <v>1.3514172805776457</v>
      </c>
      <c r="BA15" s="70">
        <v>1.5622169896757834</v>
      </c>
      <c r="BB15" s="70">
        <v>1.3957422811222331</v>
      </c>
      <c r="BC15" s="70">
        <v>1.5363636363636364</v>
      </c>
      <c r="BD15" s="70">
        <v>1.1662543545211288</v>
      </c>
      <c r="BE15" s="70">
        <v>0.82095598163651096</v>
      </c>
      <c r="BF15" s="70">
        <v>0.79599367422245659</v>
      </c>
      <c r="BG15" s="70">
        <v>0.66797247752498623</v>
      </c>
      <c r="BH15" s="59">
        <v>1.0157790927021695</v>
      </c>
      <c r="BI15" s="59">
        <v>0.48694112439132686</v>
      </c>
      <c r="BJ15" s="59">
        <v>0.44201018545210191</v>
      </c>
      <c r="BK15" s="59">
        <v>0.33312833128331282</v>
      </c>
      <c r="BL15" s="59">
        <f t="shared" si="3"/>
        <v>0.31792490916431859</v>
      </c>
      <c r="BM15" s="27">
        <v>14.129398183004568</v>
      </c>
      <c r="BN15" s="27">
        <v>13.417529679211922</v>
      </c>
      <c r="BO15" s="27">
        <v>11.074962721973701</v>
      </c>
      <c r="BP15" s="27">
        <v>8.7007793273174734</v>
      </c>
      <c r="BQ15" s="87">
        <v>9.8843957472491759</v>
      </c>
      <c r="BR15" s="27">
        <v>8.9028213166144212</v>
      </c>
      <c r="BS15" s="27">
        <v>8.4309249702262807</v>
      </c>
      <c r="BT15" s="27">
        <v>7.3246606334841635</v>
      </c>
      <c r="BU15" s="27">
        <v>7.580720636406177</v>
      </c>
      <c r="BV15" s="27">
        <v>6.3154900194395704</v>
      </c>
      <c r="BW15" s="27">
        <v>4.414367018987039</v>
      </c>
      <c r="BX15" s="27">
        <v>3.3219959931044123</v>
      </c>
      <c r="BY15" s="27">
        <v>1.8238021638330757</v>
      </c>
      <c r="BZ15" s="27">
        <v>2.5962634856591529</v>
      </c>
      <c r="CA15" s="27">
        <v>1.5653168007738645</v>
      </c>
      <c r="CB15" s="27">
        <v>1.637249798892727</v>
      </c>
      <c r="CC15" s="70">
        <f>(271/20817)*100</f>
        <v>1.3018206273718596</v>
      </c>
      <c r="CD15" s="70">
        <f>(260/20497)*100</f>
        <v>1.268478313899595</v>
      </c>
      <c r="CE15" s="70">
        <f>(318/22084)*100</f>
        <v>1.4399565296142003</v>
      </c>
      <c r="CF15" s="70">
        <f>(260/21279)*100</f>
        <v>1.2218619296019548</v>
      </c>
      <c r="CG15" s="70">
        <f>(295/22000)*100</f>
        <v>1.3409090909090908</v>
      </c>
      <c r="CH15" s="70">
        <v>1.0854748321300549</v>
      </c>
      <c r="CI15" s="70">
        <v>0.73994058871185531</v>
      </c>
      <c r="CJ15" s="70">
        <v>0.67474960463890354</v>
      </c>
      <c r="CK15" s="70">
        <v>0.54743609060318421</v>
      </c>
      <c r="CL15" s="59">
        <v>0.45857988165680469</v>
      </c>
      <c r="CM15" s="59">
        <v>0.37873198563769617</v>
      </c>
      <c r="CN15" s="59">
        <v>0.36994330738925724</v>
      </c>
      <c r="CO15" s="59">
        <v>0.24087740877408773</v>
      </c>
      <c r="CP15" s="59">
        <v>0.38857488897860315</v>
      </c>
      <c r="CQ15" s="59">
        <v>0.18721198156682026</v>
      </c>
      <c r="CR15" s="35">
        <v>22.11968548425067</v>
      </c>
      <c r="CS15" s="35">
        <v>8.4384623025727628</v>
      </c>
      <c r="CT15" s="35">
        <v>1.3260305563562986</v>
      </c>
      <c r="CU15" s="35">
        <v>1.5229349456744101</v>
      </c>
      <c r="CV15" s="35">
        <v>0.73994058871185531</v>
      </c>
      <c r="CW15" s="11">
        <v>95.5</v>
      </c>
      <c r="CX15" s="35">
        <v>18.337087087087088</v>
      </c>
      <c r="CY15" s="35">
        <v>6.5627482128673549</v>
      </c>
      <c r="CZ15" s="35">
        <v>0.77821011673151752</v>
      </c>
      <c r="DA15" s="35">
        <v>1.0415719093968889</v>
      </c>
      <c r="DB15" s="35">
        <v>0.48611861294155773</v>
      </c>
      <c r="DC15" s="35">
        <v>0.51000000000000512</v>
      </c>
    </row>
    <row r="16" spans="1:107">
      <c r="A16" s="3" t="s">
        <v>630</v>
      </c>
      <c r="B16" s="3" t="s">
        <v>631</v>
      </c>
      <c r="C16" s="3">
        <v>8</v>
      </c>
      <c r="D16" s="3" t="s">
        <v>759</v>
      </c>
      <c r="E16" s="72">
        <f t="shared" si="2"/>
        <v>98.247935392617606</v>
      </c>
      <c r="F16" s="72">
        <f t="shared" si="0"/>
        <v>98.384361331786124</v>
      </c>
      <c r="G16" s="72">
        <f t="shared" si="0"/>
        <v>98.80412727194232</v>
      </c>
      <c r="H16" s="72">
        <f t="shared" si="0"/>
        <v>98.659123307198854</v>
      </c>
      <c r="I16" s="72">
        <f t="shared" si="0"/>
        <v>99.059929494712108</v>
      </c>
      <c r="J16" s="72">
        <f t="shared" si="0"/>
        <v>99.172264355362941</v>
      </c>
      <c r="K16" s="72">
        <f t="shared" si="0"/>
        <v>99.173661549167136</v>
      </c>
      <c r="L16" s="72">
        <f t="shared" si="0"/>
        <v>99.185516542876428</v>
      </c>
      <c r="M16" s="72">
        <f t="shared" si="0"/>
        <v>99.18274496587749</v>
      </c>
      <c r="N16" s="72">
        <f t="shared" si="0"/>
        <v>99.350537634408596</v>
      </c>
      <c r="O16" s="72">
        <f t="shared" si="0"/>
        <v>99.40830995792426</v>
      </c>
      <c r="P16" s="72">
        <f t="shared" si="0"/>
        <v>99.52775550209391</v>
      </c>
      <c r="Q16" s="72">
        <f t="shared" si="0"/>
        <v>99.262120751768734</v>
      </c>
      <c r="R16" s="72">
        <f t="shared" si="0"/>
        <v>99.336841654900951</v>
      </c>
      <c r="S16" s="72">
        <f t="shared" si="0"/>
        <v>99.256981808864978</v>
      </c>
      <c r="T16" s="72">
        <f t="shared" si="0"/>
        <v>99.675209111941626</v>
      </c>
      <c r="U16" s="72">
        <f t="shared" si="0"/>
        <v>99.651962428715194</v>
      </c>
      <c r="V16" s="72">
        <f t="shared" si="0"/>
        <v>99.79195561719834</v>
      </c>
      <c r="W16" s="72">
        <f t="shared" si="0"/>
        <v>99.801953459062887</v>
      </c>
      <c r="X16" s="72">
        <f t="shared" si="0"/>
        <v>99.751285726329982</v>
      </c>
      <c r="Y16" s="72">
        <f t="shared" si="0"/>
        <v>99.833617747440272</v>
      </c>
      <c r="Z16" s="72">
        <f t="shared" si="0"/>
        <v>99.793965477771167</v>
      </c>
      <c r="AA16" s="72">
        <f t="shared" si="0"/>
        <v>99.80652163654382</v>
      </c>
      <c r="AB16" s="72">
        <f t="shared" si="0"/>
        <v>99.823287802082334</v>
      </c>
      <c r="AC16" s="72">
        <f t="shared" si="0"/>
        <v>99.823764029310823</v>
      </c>
      <c r="AD16" s="72">
        <f t="shared" si="0"/>
        <v>99.945994599459951</v>
      </c>
      <c r="AE16" s="72">
        <f t="shared" si="0"/>
        <v>99.80435749221877</v>
      </c>
      <c r="AF16" s="72">
        <f t="shared" si="1"/>
        <v>99.896740594415007</v>
      </c>
      <c r="AG16" s="73">
        <v>99.917555993221271</v>
      </c>
      <c r="AH16" s="73">
        <v>99.842971869532064</v>
      </c>
      <c r="AI16" s="27">
        <v>1.7520646073823971</v>
      </c>
      <c r="AJ16" s="27">
        <v>1.6156386682138713</v>
      </c>
      <c r="AK16" s="27">
        <v>1.1958727280576782</v>
      </c>
      <c r="AL16" s="27">
        <v>1.3408766928011404</v>
      </c>
      <c r="AM16" s="87">
        <v>0.9400705052878966</v>
      </c>
      <c r="AN16" s="27">
        <v>0.82773564463705307</v>
      </c>
      <c r="AO16" s="27">
        <v>0.82633845083286228</v>
      </c>
      <c r="AP16" s="88">
        <v>0.81448345712356507</v>
      </c>
      <c r="AQ16" s="88">
        <v>0.817255034122504</v>
      </c>
      <c r="AR16" s="88">
        <v>0.64946236559139781</v>
      </c>
      <c r="AS16" s="27">
        <v>0.59169004207573628</v>
      </c>
      <c r="AT16" s="27">
        <v>0.47224449790608569</v>
      </c>
      <c r="AU16" s="27">
        <v>0.73787924823126005</v>
      </c>
      <c r="AV16" s="27">
        <v>0.66315834509904592</v>
      </c>
      <c r="AW16" s="27">
        <v>0.74301819113502432</v>
      </c>
      <c r="AX16" s="27">
        <v>0.32479088805837336</v>
      </c>
      <c r="AY16" s="70">
        <v>0.34803757128480373</v>
      </c>
      <c r="AZ16" s="59">
        <v>0.20804438280166435</v>
      </c>
      <c r="BA16" s="70">
        <v>0.19804654093712021</v>
      </c>
      <c r="BB16" s="70">
        <v>0.24871427367001098</v>
      </c>
      <c r="BC16" s="70">
        <v>0.16638225255972697</v>
      </c>
      <c r="BD16" s="70">
        <v>0.2060345222288357</v>
      </c>
      <c r="BE16" s="70">
        <v>0.19347836345618424</v>
      </c>
      <c r="BF16" s="70">
        <v>0.17671219791766168</v>
      </c>
      <c r="BG16" s="70">
        <v>0.1762359706891754</v>
      </c>
      <c r="BH16" s="59">
        <v>5.4005400540054004E-2</v>
      </c>
      <c r="BI16" s="59">
        <v>0.19564250778123515</v>
      </c>
      <c r="BJ16" s="59">
        <v>0.10325940558498781</v>
      </c>
      <c r="BK16" s="59">
        <v>8.2444006778729456E-2</v>
      </c>
      <c r="BL16" s="59">
        <f t="shared" si="3"/>
        <v>0.15702813046793551</v>
      </c>
      <c r="BM16" s="27">
        <v>1.701875256650089</v>
      </c>
      <c r="BN16" s="27">
        <v>1.521913773096492</v>
      </c>
      <c r="BO16" s="27">
        <v>1.0534041359064024</v>
      </c>
      <c r="BP16" s="27">
        <v>0.98895224518888092</v>
      </c>
      <c r="BQ16" s="87">
        <v>0.7050528789659225</v>
      </c>
      <c r="BR16" s="27">
        <v>0.60238353196099681</v>
      </c>
      <c r="BS16" s="27">
        <v>0.60018266428913147</v>
      </c>
      <c r="BT16" s="88">
        <v>0.66255908170155298</v>
      </c>
      <c r="BU16" s="88">
        <v>0.66559946078018373</v>
      </c>
      <c r="BV16" s="88">
        <v>0.56774193548387097</v>
      </c>
      <c r="BW16" s="27">
        <v>0.42952314165497896</v>
      </c>
      <c r="BX16" s="27">
        <v>0.39650717277020409</v>
      </c>
      <c r="BY16" s="27">
        <v>0.36459915794956382</v>
      </c>
      <c r="BZ16" s="27">
        <v>0.32088307020921575</v>
      </c>
      <c r="CA16" s="27">
        <v>0.34588777863182169</v>
      </c>
      <c r="CB16" s="27">
        <v>0.19131518063712405</v>
      </c>
      <c r="CC16" s="70">
        <f>(44/23848)*100</f>
        <v>0.18450184501845018</v>
      </c>
      <c r="CD16" s="70">
        <f>(35/23072)*100</f>
        <v>0.15169902912621358</v>
      </c>
      <c r="CE16" s="70">
        <f>(34/22217)*100</f>
        <v>0.15303596345141107</v>
      </c>
      <c r="CF16" s="70">
        <f>(36/23722)*100</f>
        <v>0.15175786190034568</v>
      </c>
      <c r="CG16" s="70">
        <f>(28/23440)*100</f>
        <v>0.11945392491467575</v>
      </c>
      <c r="CH16" s="70">
        <v>6.8678174076278561E-2</v>
      </c>
      <c r="CI16" s="70">
        <v>6.6065782643575099E-2</v>
      </c>
      <c r="CJ16" s="70">
        <v>3.8208042793007928E-2</v>
      </c>
      <c r="CK16" s="70">
        <v>4.6377887023467214E-2</v>
      </c>
      <c r="CL16" s="59">
        <v>4.5004500450045004E-2</v>
      </c>
      <c r="CM16" s="59">
        <v>4.4464206313917294E-2</v>
      </c>
      <c r="CN16" s="59">
        <v>3.1426775612822123E-2</v>
      </c>
      <c r="CO16" s="59">
        <v>3.6641780790546419E-2</v>
      </c>
      <c r="CP16" s="59">
        <v>3.1405626093588768E-2</v>
      </c>
      <c r="CQ16" s="59">
        <v>5.1590713671539119E-2</v>
      </c>
      <c r="CR16" s="35">
        <v>3.0047575327602036</v>
      </c>
      <c r="CS16" s="35">
        <v>0.60154308879299068</v>
      </c>
      <c r="CT16" s="35">
        <v>0.18480406568944516</v>
      </c>
      <c r="CU16" s="35">
        <v>0.14508214209515682</v>
      </c>
      <c r="CV16" s="35">
        <v>6.6093853271645728E-2</v>
      </c>
      <c r="CW16" s="11">
        <v>99.4</v>
      </c>
      <c r="CX16" s="35">
        <v>1.5781863251394339</v>
      </c>
      <c r="CY16" s="35">
        <v>0.32622879512831665</v>
      </c>
      <c r="CZ16" s="35">
        <v>6.2900993835702607E-2</v>
      </c>
      <c r="DA16" s="35">
        <v>5.5584060201812897E-2</v>
      </c>
      <c r="DB16" s="35">
        <v>0.11797461186352698</v>
      </c>
      <c r="DC16" s="35">
        <v>0.18999999999999773</v>
      </c>
    </row>
    <row r="17" spans="1:107">
      <c r="A17" s="3" t="s">
        <v>632</v>
      </c>
      <c r="B17" s="3" t="s">
        <v>633</v>
      </c>
      <c r="C17" s="3">
        <v>9</v>
      </c>
      <c r="D17" s="3" t="s">
        <v>641</v>
      </c>
      <c r="E17" s="72">
        <f t="shared" si="2"/>
        <v>68.897755610972567</v>
      </c>
      <c r="F17" s="72">
        <f t="shared" si="0"/>
        <v>69.126745624889523</v>
      </c>
      <c r="G17" s="72">
        <f t="shared" si="0"/>
        <v>73.061650992685472</v>
      </c>
      <c r="H17" s="72">
        <f t="shared" si="0"/>
        <v>73.061650992685472</v>
      </c>
      <c r="I17" s="72">
        <f t="shared" si="0"/>
        <v>80.908212560386474</v>
      </c>
      <c r="J17" s="72">
        <f t="shared" si="0"/>
        <v>79.837454608334781</v>
      </c>
      <c r="K17" s="72">
        <f t="shared" si="0"/>
        <v>82.833234722339611</v>
      </c>
      <c r="L17" s="72">
        <f t="shared" si="0"/>
        <v>81.406784492588372</v>
      </c>
      <c r="M17" s="72">
        <f t="shared" si="0"/>
        <v>83.424825891028263</v>
      </c>
      <c r="N17" s="72">
        <f t="shared" si="0"/>
        <v>85.057853991509205</v>
      </c>
      <c r="O17" s="72">
        <f t="shared" si="0"/>
        <v>83.719298245614027</v>
      </c>
      <c r="P17" s="72">
        <f t="shared" si="0"/>
        <v>84.34663208482722</v>
      </c>
      <c r="Q17" s="72">
        <f t="shared" si="0"/>
        <v>83.011643353911069</v>
      </c>
      <c r="R17" s="72">
        <f t="shared" si="0"/>
        <v>86.546201232032857</v>
      </c>
      <c r="S17" s="72">
        <f t="shared" si="0"/>
        <v>87.463102656608726</v>
      </c>
      <c r="T17" s="72">
        <f t="shared" si="0"/>
        <v>87.032860824742272</v>
      </c>
      <c r="U17" s="72">
        <f t="shared" si="0"/>
        <v>91.172381835032439</v>
      </c>
      <c r="V17" s="72">
        <f t="shared" si="0"/>
        <v>91.523801235749715</v>
      </c>
      <c r="W17" s="72">
        <f t="shared" si="0"/>
        <v>91.869427232884988</v>
      </c>
      <c r="X17" s="72">
        <f t="shared" si="0"/>
        <v>92.152949628801792</v>
      </c>
      <c r="Y17" s="72">
        <f t="shared" si="0"/>
        <v>92.614563250778588</v>
      </c>
      <c r="Z17" s="72">
        <f t="shared" si="0"/>
        <v>92.664633643781428</v>
      </c>
      <c r="AA17" s="72">
        <f t="shared" si="0"/>
        <v>93.637583892617457</v>
      </c>
      <c r="AB17" s="72">
        <f t="shared" si="0"/>
        <v>94.163981382026492</v>
      </c>
      <c r="AC17" s="72">
        <f t="shared" si="0"/>
        <v>95.631067961165044</v>
      </c>
      <c r="AD17" s="72">
        <f t="shared" si="0"/>
        <v>94.710729902455427</v>
      </c>
      <c r="AE17" s="72">
        <f t="shared" si="0"/>
        <v>95.530056516526813</v>
      </c>
      <c r="AF17" s="72">
        <f t="shared" si="1"/>
        <v>95.594895018526131</v>
      </c>
      <c r="AG17" s="73">
        <v>96.80086869361844</v>
      </c>
      <c r="AH17" s="73">
        <v>96.936120204818266</v>
      </c>
      <c r="AI17" s="27">
        <v>31.102244389027433</v>
      </c>
      <c r="AJ17" s="27">
        <v>30.873254375110481</v>
      </c>
      <c r="AK17" s="27">
        <v>26.938349007314528</v>
      </c>
      <c r="AL17" s="88">
        <v>26.938349007314528</v>
      </c>
      <c r="AM17" s="87">
        <v>19.091787439613526</v>
      </c>
      <c r="AN17" s="27">
        <v>20.162545391665226</v>
      </c>
      <c r="AO17" s="27">
        <v>17.166765277660385</v>
      </c>
      <c r="AP17" s="27">
        <v>18.593215507411632</v>
      </c>
      <c r="AQ17" s="27">
        <v>16.575174108971733</v>
      </c>
      <c r="AR17" s="27">
        <v>14.9421460084908</v>
      </c>
      <c r="AS17" s="27">
        <v>16.280701754385966</v>
      </c>
      <c r="AT17" s="27">
        <v>15.653367915172783</v>
      </c>
      <c r="AU17" s="27">
        <v>16.988356646088924</v>
      </c>
      <c r="AV17" s="27">
        <v>13.453798767967145</v>
      </c>
      <c r="AW17" s="27">
        <v>12.536897343391276</v>
      </c>
      <c r="AX17" s="27">
        <v>12.967139175257733</v>
      </c>
      <c r="AY17" s="70">
        <v>8.8276181649675625</v>
      </c>
      <c r="AZ17" s="59">
        <v>8.4761987642502827</v>
      </c>
      <c r="BA17" s="70">
        <v>8.130572767115007</v>
      </c>
      <c r="BB17" s="70">
        <v>7.847050371198212</v>
      </c>
      <c r="BC17" s="70">
        <v>7.385436749221415</v>
      </c>
      <c r="BD17" s="70">
        <v>7.3353663562185769</v>
      </c>
      <c r="BE17" s="70">
        <v>6.3624161073825496</v>
      </c>
      <c r="BF17" s="70">
        <v>5.8360186179735054</v>
      </c>
      <c r="BG17" s="70">
        <v>4.3689320388349513</v>
      </c>
      <c r="BH17" s="59">
        <v>5.2892700975445672</v>
      </c>
      <c r="BI17" s="59">
        <v>4.4699434834731928</v>
      </c>
      <c r="BJ17" s="59">
        <v>4.4051049814738619</v>
      </c>
      <c r="BK17" s="59">
        <v>3.199131306381557</v>
      </c>
      <c r="BL17" s="59">
        <f t="shared" si="3"/>
        <v>3.0638797951817338</v>
      </c>
      <c r="BM17" s="27">
        <v>29.576059850374065</v>
      </c>
      <c r="BN17" s="27">
        <v>29.114371575039772</v>
      </c>
      <c r="BO17" s="27">
        <v>24.263322884012538</v>
      </c>
      <c r="BP17" s="88">
        <v>24.263322884012538</v>
      </c>
      <c r="BQ17" s="87">
        <v>17.072463768115941</v>
      </c>
      <c r="BR17" s="27">
        <v>15.554210617326646</v>
      </c>
      <c r="BS17" s="27">
        <v>15.729862226354493</v>
      </c>
      <c r="BT17" s="27">
        <v>15.756841505131128</v>
      </c>
      <c r="BU17" s="27">
        <v>14.584186808684965</v>
      </c>
      <c r="BV17" s="27">
        <v>13.468742195954384</v>
      </c>
      <c r="BW17" s="27">
        <v>12.522417153996102</v>
      </c>
      <c r="BX17" s="27">
        <v>11.762910977191243</v>
      </c>
      <c r="BY17" s="27">
        <v>10.69781980151598</v>
      </c>
      <c r="BZ17" s="27">
        <v>10.11088295687885</v>
      </c>
      <c r="CA17" s="27">
        <v>10.159068547064612</v>
      </c>
      <c r="CB17" s="27">
        <v>11.219394329896907</v>
      </c>
      <c r="CC17" s="70">
        <f>(947/12948)*100</f>
        <v>7.3138708680877347</v>
      </c>
      <c r="CD17" s="70">
        <f>(966/11491)*100</f>
        <v>8.4065790618745098</v>
      </c>
      <c r="CE17" s="70">
        <f>(1059/13234)*100</f>
        <v>8.0021157624301029</v>
      </c>
      <c r="CF17" s="70">
        <f>(964/12527)*100</f>
        <v>7.6953779835555194</v>
      </c>
      <c r="CG17" s="70">
        <f>(968/13486)*100</f>
        <v>7.177814029363784</v>
      </c>
      <c r="CH17" s="70">
        <v>7.1293167394708643</v>
      </c>
      <c r="CI17" s="70">
        <v>6.1387024608501113</v>
      </c>
      <c r="CJ17" s="70">
        <v>5.5137844611528823</v>
      </c>
      <c r="CK17" s="70">
        <v>4.278426855356261</v>
      </c>
      <c r="CL17" s="59">
        <v>5.1715438950554997</v>
      </c>
      <c r="CM17" s="59">
        <v>4.2815550607980821</v>
      </c>
      <c r="CN17" s="59">
        <v>4.1251543845203793</v>
      </c>
      <c r="CO17" s="59">
        <v>2.8817240227196792</v>
      </c>
      <c r="CP17" s="59">
        <v>4.2054898010576682</v>
      </c>
      <c r="CQ17" s="59">
        <v>2.0071971211515391</v>
      </c>
      <c r="CR17" s="35">
        <v>45.407183986838497</v>
      </c>
      <c r="CS17" s="35">
        <v>15.948238923643842</v>
      </c>
      <c r="CT17" s="35">
        <v>7.4988246356370469</v>
      </c>
      <c r="CU17" s="35">
        <v>7.385436749221415</v>
      </c>
      <c r="CV17" s="35">
        <v>6.1387024608501113</v>
      </c>
      <c r="CW17" s="11">
        <v>83.7</v>
      </c>
      <c r="CX17" s="35">
        <v>37.622427891095342</v>
      </c>
      <c r="CY17" s="35">
        <v>13.950930626057529</v>
      </c>
      <c r="CZ17" s="35">
        <v>5.9778826076869542</v>
      </c>
      <c r="DA17" s="35">
        <v>4.1610838171802893</v>
      </c>
      <c r="DB17" s="35">
        <v>3.5464803868887693</v>
      </c>
      <c r="DC17" s="35">
        <v>4.0799999999999983</v>
      </c>
    </row>
    <row r="18" spans="1:107">
      <c r="A18" s="3" t="s">
        <v>634</v>
      </c>
      <c r="B18" s="3" t="s">
        <v>715</v>
      </c>
      <c r="C18" s="3">
        <v>10</v>
      </c>
      <c r="D18" s="3" t="s">
        <v>664</v>
      </c>
      <c r="E18" s="72">
        <f t="shared" si="2"/>
        <v>86.950995622087277</v>
      </c>
      <c r="F18" s="72">
        <f t="shared" si="0"/>
        <v>88.771707797229837</v>
      </c>
      <c r="G18" s="72">
        <f t="shared" si="0"/>
        <v>89.986763732627395</v>
      </c>
      <c r="H18" s="72">
        <f t="shared" si="0"/>
        <v>90.599530321867661</v>
      </c>
      <c r="I18" s="72">
        <f t="shared" si="0"/>
        <v>91.049382716049379</v>
      </c>
      <c r="J18" s="72">
        <f t="shared" si="0"/>
        <v>91.386774145394838</v>
      </c>
      <c r="K18" s="72">
        <f t="shared" si="0"/>
        <v>92.411280101394169</v>
      </c>
      <c r="L18" s="72">
        <f t="shared" si="0"/>
        <v>91.614807722993461</v>
      </c>
      <c r="M18" s="72">
        <f t="shared" si="0"/>
        <v>92.498387905710402</v>
      </c>
      <c r="N18" s="72">
        <f t="shared" si="0"/>
        <v>93.383261833781717</v>
      </c>
      <c r="O18" s="72">
        <f t="shared" si="0"/>
        <v>94.480401425350891</v>
      </c>
      <c r="P18" s="72">
        <f t="shared" si="0"/>
        <v>95.113982866269779</v>
      </c>
      <c r="Q18" s="72">
        <f t="shared" si="0"/>
        <v>95.244161358811041</v>
      </c>
      <c r="R18" s="72">
        <f t="shared" si="0"/>
        <v>96.15578069986347</v>
      </c>
      <c r="S18" s="72">
        <f t="shared" si="0"/>
        <v>96.17839066969853</v>
      </c>
      <c r="T18" s="72">
        <f t="shared" si="0"/>
        <v>96.822863774844038</v>
      </c>
      <c r="U18" s="72">
        <f t="shared" si="0"/>
        <v>96.67031763417306</v>
      </c>
      <c r="V18" s="72">
        <f t="shared" si="0"/>
        <v>97.556151998869893</v>
      </c>
      <c r="W18" s="72">
        <f t="shared" si="0"/>
        <v>96.542921741667271</v>
      </c>
      <c r="X18" s="72">
        <f t="shared" si="0"/>
        <v>96.801920396468944</v>
      </c>
      <c r="Y18" s="72">
        <f t="shared" si="0"/>
        <v>97.237407974342148</v>
      </c>
      <c r="Z18" s="72">
        <f t="shared" si="0"/>
        <v>97.471671934016797</v>
      </c>
      <c r="AA18" s="72">
        <f t="shared" ref="AA18:AA32" si="4">100-BE18</f>
        <v>97.809978593775725</v>
      </c>
      <c r="AB18" s="72">
        <f t="shared" ref="AB18:AB32" si="5">100-BF18</f>
        <v>97.956885456885459</v>
      </c>
      <c r="AC18" s="72">
        <f t="shared" ref="AC18:AC32" si="6">100-BG18</f>
        <v>98.05825242718447</v>
      </c>
      <c r="AD18" s="72">
        <f t="shared" ref="AD18:AD32" si="7">100-BH18</f>
        <v>98.401878360978571</v>
      </c>
      <c r="AE18" s="72">
        <f t="shared" ref="AE18:AF32" si="8">100-BI18</f>
        <v>99.023117076808347</v>
      </c>
      <c r="AF18" s="72">
        <f t="shared" si="8"/>
        <v>99.287051706755008</v>
      </c>
      <c r="AG18" s="73">
        <v>99.52924834079333</v>
      </c>
      <c r="AH18" s="73">
        <v>99.465361445783131</v>
      </c>
      <c r="AI18" s="27">
        <v>13.049004377912723</v>
      </c>
      <c r="AJ18" s="27">
        <v>11.228292202770161</v>
      </c>
      <c r="AK18" s="27">
        <v>10.013236267372601</v>
      </c>
      <c r="AL18" s="27">
        <v>9.4004696781323389</v>
      </c>
      <c r="AM18" s="87">
        <v>8.9506172839506171</v>
      </c>
      <c r="AN18" s="27">
        <v>8.6132258546051652</v>
      </c>
      <c r="AO18" s="27">
        <v>7.5887198986058308</v>
      </c>
      <c r="AP18" s="27">
        <v>8.3851922770065421</v>
      </c>
      <c r="AQ18" s="27">
        <v>7.5016120942896043</v>
      </c>
      <c r="AR18" s="27">
        <v>6.6167381662182789</v>
      </c>
      <c r="AS18" s="27">
        <v>5.5195985746491161</v>
      </c>
      <c r="AT18" s="27">
        <v>4.886017133730217</v>
      </c>
      <c r="AU18" s="27">
        <v>4.7558386411889604</v>
      </c>
      <c r="AV18" s="27">
        <v>3.8442193001365235</v>
      </c>
      <c r="AW18" s="27">
        <v>3.8216093303014746</v>
      </c>
      <c r="AX18" s="27">
        <v>3.1771362251559556</v>
      </c>
      <c r="AY18" s="70">
        <v>3.3296823658269443</v>
      </c>
      <c r="AZ18" s="59">
        <v>2.4438480011301031</v>
      </c>
      <c r="BA18" s="70">
        <v>3.4570782583327255</v>
      </c>
      <c r="BB18" s="70">
        <v>3.1980796035310517</v>
      </c>
      <c r="BC18" s="70">
        <v>2.7625920256578467</v>
      </c>
      <c r="BD18" s="70">
        <v>2.5283280659831959</v>
      </c>
      <c r="BE18" s="70">
        <v>2.1900214062242713</v>
      </c>
      <c r="BF18" s="70">
        <v>2.0431145431145428</v>
      </c>
      <c r="BG18" s="70">
        <v>1.9417475728155338</v>
      </c>
      <c r="BH18" s="59">
        <v>1.5981216390214346</v>
      </c>
      <c r="BI18" s="59">
        <v>0.97688292319164649</v>
      </c>
      <c r="BJ18" s="59">
        <v>0.71294829324499709</v>
      </c>
      <c r="BK18" s="59">
        <v>0.47075165920666773</v>
      </c>
      <c r="BL18" s="59">
        <f t="shared" si="3"/>
        <v>0.53463855421686901</v>
      </c>
      <c r="BM18" s="27">
        <v>12.681824601045049</v>
      </c>
      <c r="BN18" s="27">
        <v>10.947057582788441</v>
      </c>
      <c r="BO18" s="27">
        <v>9.8808735936465908</v>
      </c>
      <c r="BP18" s="27">
        <v>9.1794446746788232</v>
      </c>
      <c r="BQ18" s="87">
        <v>8.720930232558139</v>
      </c>
      <c r="BR18" s="27">
        <v>8.3594566353187041</v>
      </c>
      <c r="BS18" s="27">
        <v>7.3352344740177431</v>
      </c>
      <c r="BT18" s="27">
        <v>8.233604595500239</v>
      </c>
      <c r="BU18" s="27">
        <v>7.2795013254997487</v>
      </c>
      <c r="BV18" s="27">
        <v>6.4131462226423324</v>
      </c>
      <c r="BW18" s="27">
        <v>5.3450658133953892</v>
      </c>
      <c r="BX18" s="27">
        <v>4.7190358646725716</v>
      </c>
      <c r="BY18" s="27">
        <v>4.118895966029724</v>
      </c>
      <c r="BZ18" s="27">
        <v>3.4921319249838332</v>
      </c>
      <c r="CA18" s="27">
        <v>3.2421330594880069</v>
      </c>
      <c r="CB18" s="27">
        <v>2.9522704192659219</v>
      </c>
      <c r="CC18" s="70">
        <f>(410/13695)*100</f>
        <v>2.9937933552391383</v>
      </c>
      <c r="CD18" s="70">
        <f>(319/14158)*100</f>
        <v>2.2531430993078119</v>
      </c>
      <c r="CE18" s="70">
        <f>(380/13711)*100</f>
        <v>2.771497337903873</v>
      </c>
      <c r="CF18" s="70">
        <f>(325/12914)*100</f>
        <v>2.5166485984203191</v>
      </c>
      <c r="CG18" s="70">
        <f>(279/13719)*100</f>
        <v>2.0336759239011593</v>
      </c>
      <c r="CH18" s="70">
        <v>1.6958298003545826</v>
      </c>
      <c r="CI18" s="70">
        <v>1.4243372303639057</v>
      </c>
      <c r="CJ18" s="70">
        <v>1.3352638352638353</v>
      </c>
      <c r="CK18" s="70">
        <v>1.2405609492988134</v>
      </c>
      <c r="CL18" s="59">
        <v>1.0527910323411347</v>
      </c>
      <c r="CM18" s="59">
        <v>0.66368381804623411</v>
      </c>
      <c r="CN18" s="59">
        <v>0.58332133083681403</v>
      </c>
      <c r="CO18" s="59">
        <v>0.28553789164994597</v>
      </c>
      <c r="CP18" s="59">
        <v>0.60993975903614461</v>
      </c>
      <c r="CQ18" s="59">
        <v>0.25245441795231416</v>
      </c>
      <c r="CR18" s="35">
        <v>20.865353567969002</v>
      </c>
      <c r="CS18" s="35">
        <v>7.3503730750912846</v>
      </c>
      <c r="CT18" s="35">
        <v>3.0819912152269402</v>
      </c>
      <c r="CU18" s="35">
        <v>2.7555037177431112</v>
      </c>
      <c r="CV18" s="35">
        <v>1.4243372303639057</v>
      </c>
      <c r="CW18" s="11">
        <v>94.5</v>
      </c>
      <c r="CX18" s="35">
        <v>18.613963702124909</v>
      </c>
      <c r="CY18" s="35">
        <v>6.9905682808908614</v>
      </c>
      <c r="CZ18" s="35">
        <v>2.4438428331016318</v>
      </c>
      <c r="DA18" s="35">
        <v>1.6714108459236554</v>
      </c>
      <c r="DB18" s="35">
        <v>1.3090729458257864</v>
      </c>
      <c r="DC18" s="35">
        <v>1.3700000000000045</v>
      </c>
    </row>
    <row r="19" spans="1:107">
      <c r="A19" s="3" t="s">
        <v>716</v>
      </c>
      <c r="B19" s="3" t="s">
        <v>717</v>
      </c>
      <c r="C19" s="3">
        <v>11</v>
      </c>
      <c r="D19" s="3" t="s">
        <v>541</v>
      </c>
      <c r="E19" s="72">
        <f t="shared" si="2"/>
        <v>98.328690807799447</v>
      </c>
      <c r="F19" s="72">
        <f t="shared" ref="F19:F32" si="9">100-AJ19</f>
        <v>98.332374928119606</v>
      </c>
      <c r="G19" s="72">
        <f t="shared" ref="G19:G32" si="10">100-AK19</f>
        <v>95.268817204301072</v>
      </c>
      <c r="H19" s="72">
        <f t="shared" ref="H19:H32" si="11">100-AL19</f>
        <v>97.81410727406319</v>
      </c>
      <c r="I19" s="72">
        <f t="shared" ref="I19:I32" si="12">100-AM19</f>
        <v>97.281932847752714</v>
      </c>
      <c r="J19" s="72">
        <f t="shared" ref="J19:L32" si="13">100-AN19</f>
        <v>97.66660774261976</v>
      </c>
      <c r="K19" s="72">
        <f t="shared" ref="K19:K32" si="14">100-AO19</f>
        <v>97.79673063255153</v>
      </c>
      <c r="L19" s="72">
        <f t="shared" ref="L19:L32" si="15">100-AP19</f>
        <v>97.925669835782202</v>
      </c>
      <c r="M19" s="72">
        <f t="shared" ref="M19:M32" si="16">100-AQ19</f>
        <v>97.960215778826708</v>
      </c>
      <c r="N19" s="72">
        <f t="shared" ref="N19:N32" si="17">100-AR19</f>
        <v>97.88946521194778</v>
      </c>
      <c r="O19" s="72">
        <f t="shared" ref="O19:O32" si="18">100-AS19</f>
        <v>97.379989449621945</v>
      </c>
      <c r="P19" s="72">
        <f t="shared" ref="P19:P32" si="19">100-AT19</f>
        <v>98.255296421577356</v>
      </c>
      <c r="Q19" s="72">
        <f t="shared" ref="Q19:Q32" si="20">100-AU19</f>
        <v>96.714361420243776</v>
      </c>
      <c r="R19" s="72">
        <f t="shared" ref="R19:R32" si="21">100-AV19</f>
        <v>97.559344700768975</v>
      </c>
      <c r="S19" s="72">
        <f t="shared" ref="S19:S32" si="22">100-AW19</f>
        <v>98.40504451038575</v>
      </c>
      <c r="T19" s="72">
        <f t="shared" ref="T19:T32" si="23">100-AX19</f>
        <v>98.721037998146429</v>
      </c>
      <c r="U19" s="72">
        <f t="shared" ref="U19:U32" si="24">100-AY19</f>
        <v>98.833394094057596</v>
      </c>
      <c r="V19" s="72">
        <f t="shared" ref="V19:V32" si="25">100-AZ19</f>
        <v>99.034639409426461</v>
      </c>
      <c r="W19" s="72">
        <f t="shared" ref="W19:W32" si="26">100-BA19</f>
        <v>98.944945328985227</v>
      </c>
      <c r="X19" s="72">
        <f t="shared" ref="X19:X32" si="27">100-BB19</f>
        <v>98.866454126815441</v>
      </c>
      <c r="Y19" s="72">
        <f t="shared" ref="Y19:Y32" si="28">100-BC19</f>
        <v>99.196640496622237</v>
      </c>
      <c r="Z19" s="72">
        <f t="shared" ref="Z19:Z32" si="29">100-BD19</f>
        <v>98.767737117251684</v>
      </c>
      <c r="AA19" s="72">
        <f t="shared" si="4"/>
        <v>98.653517921486824</v>
      </c>
      <c r="AB19" s="72">
        <f t="shared" si="5"/>
        <v>99.02560183416125</v>
      </c>
      <c r="AC19" s="72">
        <f t="shared" si="6"/>
        <v>98.908014066259483</v>
      </c>
      <c r="AD19" s="72">
        <f t="shared" si="7"/>
        <v>99.57288765088208</v>
      </c>
      <c r="AE19" s="72">
        <f t="shared" si="8"/>
        <v>99.944710652414301</v>
      </c>
      <c r="AF19" s="72">
        <f t="shared" si="8"/>
        <v>99.772123053551084</v>
      </c>
      <c r="AG19" s="73">
        <v>99.904232905573636</v>
      </c>
      <c r="AH19" s="73">
        <v>99.926686217008793</v>
      </c>
      <c r="AI19" s="27">
        <v>1.6713091922005572</v>
      </c>
      <c r="AJ19" s="27">
        <v>1.6676250718803909</v>
      </c>
      <c r="AK19" s="27">
        <v>4.731182795698925</v>
      </c>
      <c r="AL19" s="27">
        <v>2.1858927259368111</v>
      </c>
      <c r="AM19" s="87">
        <v>2.7180671522472908</v>
      </c>
      <c r="AN19" s="27">
        <v>2.333392257380237</v>
      </c>
      <c r="AO19" s="27">
        <v>2.2032693674484722</v>
      </c>
      <c r="AP19" s="88">
        <v>2.0743301642178045</v>
      </c>
      <c r="AQ19" s="27">
        <v>2.0397842211732975</v>
      </c>
      <c r="AR19" s="27">
        <v>2.1105347880522265</v>
      </c>
      <c r="AS19" s="27">
        <v>2.6200105503780553</v>
      </c>
      <c r="AT19" s="27">
        <v>1.7447035784226455</v>
      </c>
      <c r="AU19" s="27">
        <v>3.2856385797562266</v>
      </c>
      <c r="AV19" s="27">
        <v>2.4406552992310262</v>
      </c>
      <c r="AW19" s="27">
        <v>1.5949554896142433</v>
      </c>
      <c r="AX19" s="27">
        <v>1.2789620018535681</v>
      </c>
      <c r="AY19" s="70">
        <v>1.1666059059423988</v>
      </c>
      <c r="AZ19" s="59">
        <v>0.96536059057353785</v>
      </c>
      <c r="BA19" s="70">
        <v>1.0550546710147708</v>
      </c>
      <c r="BB19" s="70">
        <v>1.1335458731845554</v>
      </c>
      <c r="BC19" s="70">
        <v>0.80335950337776152</v>
      </c>
      <c r="BD19" s="70">
        <v>1.2322628827483197</v>
      </c>
      <c r="BE19" s="70">
        <v>1.3464820785131804</v>
      </c>
      <c r="BF19" s="70">
        <v>0.97439816583874661</v>
      </c>
      <c r="BG19" s="70">
        <v>1.0919859337405147</v>
      </c>
      <c r="BH19" s="59">
        <v>0.42711234911792012</v>
      </c>
      <c r="BI19" s="59">
        <v>5.5289347585696369E-2</v>
      </c>
      <c r="BJ19" s="59">
        <v>0.22787694644891276</v>
      </c>
      <c r="BK19" s="59">
        <v>9.5767094426355101E-2</v>
      </c>
      <c r="BL19" s="59">
        <f t="shared" si="3"/>
        <v>7.3313782991206722E-2</v>
      </c>
      <c r="BM19" s="27">
        <v>0.71627536808595305</v>
      </c>
      <c r="BN19" s="27">
        <v>1.1117500479202607</v>
      </c>
      <c r="BO19" s="27">
        <v>2.9749103942652328</v>
      </c>
      <c r="BP19" s="27">
        <v>1.2674504041146217</v>
      </c>
      <c r="BQ19" s="87">
        <v>0.8704920945105703</v>
      </c>
      <c r="BR19" s="27">
        <v>0.79547463319780809</v>
      </c>
      <c r="BS19" s="27">
        <v>0.76403695806680882</v>
      </c>
      <c r="BT19" s="88">
        <v>1.0717372515125323</v>
      </c>
      <c r="BU19" s="27">
        <v>1.0620364126770059</v>
      </c>
      <c r="BV19" s="27">
        <v>1.6812734752280449</v>
      </c>
      <c r="BW19" s="27">
        <v>1.6704765254088272</v>
      </c>
      <c r="BX19" s="27">
        <v>0.90795798468933597</v>
      </c>
      <c r="BY19" s="27">
        <v>2.3494082317611729</v>
      </c>
      <c r="BZ19" s="27">
        <v>1.5713808090939485</v>
      </c>
      <c r="CA19" s="27">
        <v>0.79747774480712164</v>
      </c>
      <c r="CB19" s="27">
        <v>0.74142724745134381</v>
      </c>
      <c r="CC19" s="70">
        <f>(44/5486)*100</f>
        <v>0.80204156033539908</v>
      </c>
      <c r="CD19" s="70">
        <f>(50/5283)*100</f>
        <v>0.94643195154268411</v>
      </c>
      <c r="CE19" s="70">
        <f>(50/5213)*100</f>
        <v>0.95914061001342799</v>
      </c>
      <c r="CF19" s="70">
        <f>(63/5646)*100</f>
        <v>1.1158342189160468</v>
      </c>
      <c r="CG19" s="70">
        <f>(42/5477)*100</f>
        <v>0.76684316231513605</v>
      </c>
      <c r="CH19" s="70">
        <v>0.93353248693054514</v>
      </c>
      <c r="CI19" s="70">
        <v>0.73961691636639482</v>
      </c>
      <c r="CJ19" s="70">
        <v>0.17195261750095531</v>
      </c>
      <c r="CK19" s="70">
        <v>9.2541180825467334E-2</v>
      </c>
      <c r="CL19" s="59">
        <v>0.16713091922005571</v>
      </c>
      <c r="CM19" s="59">
        <v>5.5289347585698492E-2</v>
      </c>
      <c r="CN19" s="59">
        <v>0.17090770983668818</v>
      </c>
      <c r="CO19" s="59">
        <v>7.6613675541084086E-2</v>
      </c>
      <c r="CP19" s="59">
        <v>0.16495601173020527</v>
      </c>
      <c r="CQ19" s="59">
        <v>7.4046649389115149E-2</v>
      </c>
      <c r="CR19" s="35">
        <v>2.4701039011958437</v>
      </c>
      <c r="CS19" s="35">
        <v>0.76471634358883156</v>
      </c>
      <c r="CT19" s="35">
        <v>1.1125296370600037</v>
      </c>
      <c r="CU19" s="35">
        <v>0.80335950337776152</v>
      </c>
      <c r="CV19" s="35">
        <v>0.73961691636639482</v>
      </c>
      <c r="CW19" s="11">
        <v>97.4</v>
      </c>
      <c r="CX19" s="35">
        <v>0.31256104707950771</v>
      </c>
      <c r="CY19" s="35">
        <v>7.1073205401563616E-2</v>
      </c>
      <c r="CZ19" s="35">
        <v>0.76558512577469917</v>
      </c>
      <c r="DA19" s="35">
        <v>0.67555230965857227</v>
      </c>
      <c r="DB19" s="35">
        <v>0.64479423478095965</v>
      </c>
      <c r="DC19" s="35">
        <v>0.18999999999999773</v>
      </c>
    </row>
    <row r="20" spans="1:107">
      <c r="A20" s="3" t="s">
        <v>718</v>
      </c>
      <c r="B20" s="3" t="s">
        <v>719</v>
      </c>
      <c r="C20" s="3">
        <v>12</v>
      </c>
      <c r="D20" s="3" t="s">
        <v>664</v>
      </c>
      <c r="E20" s="72">
        <f t="shared" si="2"/>
        <v>92.822046571245465</v>
      </c>
      <c r="F20" s="72">
        <f t="shared" si="9"/>
        <v>93.741279649192748</v>
      </c>
      <c r="G20" s="72">
        <f t="shared" si="10"/>
        <v>93.590988541464355</v>
      </c>
      <c r="H20" s="72">
        <f t="shared" si="11"/>
        <v>94.664371772805509</v>
      </c>
      <c r="I20" s="72">
        <f t="shared" si="12"/>
        <v>95.241452238279876</v>
      </c>
      <c r="J20" s="72">
        <f t="shared" si="13"/>
        <v>95.84356366187302</v>
      </c>
      <c r="K20" s="72">
        <f t="shared" si="14"/>
        <v>97.122665320545181</v>
      </c>
      <c r="L20" s="72">
        <f t="shared" si="15"/>
        <v>97.954160898323337</v>
      </c>
      <c r="M20" s="72">
        <f t="shared" si="16"/>
        <v>97.957303025648898</v>
      </c>
      <c r="N20" s="72">
        <f t="shared" si="17"/>
        <v>99.03103709311128</v>
      </c>
      <c r="O20" s="72">
        <f t="shared" si="18"/>
        <v>99.229227686141513</v>
      </c>
      <c r="P20" s="72">
        <f t="shared" si="19"/>
        <v>98.97942386831275</v>
      </c>
      <c r="Q20" s="72">
        <f t="shared" si="20"/>
        <v>99.469857618903362</v>
      </c>
      <c r="R20" s="72">
        <f t="shared" si="21"/>
        <v>99.511748550503512</v>
      </c>
      <c r="S20" s="72">
        <f t="shared" si="22"/>
        <v>99.785407725321889</v>
      </c>
      <c r="T20" s="72">
        <f t="shared" si="23"/>
        <v>99.851509651872632</v>
      </c>
      <c r="U20" s="72">
        <f t="shared" si="24"/>
        <v>99.777601270849885</v>
      </c>
      <c r="V20" s="72">
        <f t="shared" si="25"/>
        <v>99.453551912568301</v>
      </c>
      <c r="W20" s="72">
        <f t="shared" si="26"/>
        <v>99.506919039287425</v>
      </c>
      <c r="X20" s="72">
        <f t="shared" si="27"/>
        <v>99.525631216526392</v>
      </c>
      <c r="Y20" s="72">
        <f t="shared" si="28"/>
        <v>99.424242424242422</v>
      </c>
      <c r="Z20" s="72">
        <f t="shared" si="29"/>
        <v>99.203725961538467</v>
      </c>
      <c r="AA20" s="72">
        <f t="shared" si="4"/>
        <v>99.436936936936931</v>
      </c>
      <c r="AB20" s="72">
        <f t="shared" si="5"/>
        <v>99.576822916666671</v>
      </c>
      <c r="AC20" s="72">
        <f t="shared" si="6"/>
        <v>99.766391527799414</v>
      </c>
      <c r="AD20" s="72">
        <f t="shared" si="7"/>
        <v>99.787859007832893</v>
      </c>
      <c r="AE20" s="72">
        <f t="shared" si="8"/>
        <v>99.76828864614366</v>
      </c>
      <c r="AF20" s="72">
        <f t="shared" si="8"/>
        <v>99.936020473448494</v>
      </c>
      <c r="AG20" s="73">
        <v>99.951612903225808</v>
      </c>
      <c r="AH20" s="73">
        <v>99.967061923583671</v>
      </c>
      <c r="AI20" s="27">
        <v>7.1779534287545399</v>
      </c>
      <c r="AJ20" s="27">
        <v>6.2587203508072546</v>
      </c>
      <c r="AK20" s="27">
        <v>6.4090114585356375</v>
      </c>
      <c r="AL20" s="27">
        <v>5.3356282271944924</v>
      </c>
      <c r="AM20" s="87">
        <v>4.7585477617201271</v>
      </c>
      <c r="AN20" s="27">
        <v>4.1564363381269729</v>
      </c>
      <c r="AO20" s="27">
        <v>2.8773346794548207</v>
      </c>
      <c r="AP20" s="27">
        <v>2.0458391016766648</v>
      </c>
      <c r="AQ20" s="88">
        <v>2.0426969743510983</v>
      </c>
      <c r="AR20" s="27">
        <v>0.96896290688872067</v>
      </c>
      <c r="AS20" s="27">
        <v>0.77077231385848621</v>
      </c>
      <c r="AT20" s="27">
        <v>1.0205761316872428</v>
      </c>
      <c r="AU20" s="27">
        <v>0.53014238109663736</v>
      </c>
      <c r="AV20" s="27">
        <v>0.48825144949649069</v>
      </c>
      <c r="AW20" s="27">
        <v>0.21459227467811159</v>
      </c>
      <c r="AX20" s="27">
        <v>0.14849034812737172</v>
      </c>
      <c r="AY20" s="70">
        <v>0.22239872915011916</v>
      </c>
      <c r="AZ20" s="59">
        <v>0.54644808743169404</v>
      </c>
      <c r="BA20" s="70">
        <v>0.49308096071258151</v>
      </c>
      <c r="BB20" s="70">
        <v>0.47436878347360373</v>
      </c>
      <c r="BC20" s="70">
        <v>0.57575757575757569</v>
      </c>
      <c r="BD20" s="70">
        <v>0.79627403846153844</v>
      </c>
      <c r="BE20" s="70">
        <v>0.56306306306306309</v>
      </c>
      <c r="BF20" s="70">
        <v>0.42317708333333331</v>
      </c>
      <c r="BG20" s="70">
        <v>0.2336084722005918</v>
      </c>
      <c r="BH20" s="59">
        <v>0.21214099216710186</v>
      </c>
      <c r="BI20" s="59">
        <v>0.23171135385633423</v>
      </c>
      <c r="BJ20" s="59">
        <v>6.3979526551505295E-2</v>
      </c>
      <c r="BK20" s="59">
        <v>4.8387096774193547E-2</v>
      </c>
      <c r="BL20" s="59">
        <f t="shared" si="3"/>
        <v>3.2938076416328954E-2</v>
      </c>
      <c r="BM20" s="27">
        <v>6.9215979491561637</v>
      </c>
      <c r="BN20" s="27">
        <v>5.9597368945585014</v>
      </c>
      <c r="BO20" s="27">
        <v>5.9040590405904059</v>
      </c>
      <c r="BP20" s="27">
        <v>5.02964237903997</v>
      </c>
      <c r="BQ20" s="87">
        <v>4.652802255904124</v>
      </c>
      <c r="BR20" s="27">
        <v>4.0687478077867416</v>
      </c>
      <c r="BS20" s="27">
        <v>2.8436816422682147</v>
      </c>
      <c r="BT20" s="27">
        <v>1.9689278572527305</v>
      </c>
      <c r="BU20" s="88">
        <v>1.9659038550145909</v>
      </c>
      <c r="BV20" s="27">
        <v>0.96896290688872067</v>
      </c>
      <c r="BW20" s="27">
        <v>0.77077231385848621</v>
      </c>
      <c r="BX20" s="27">
        <v>0.98765432098765427</v>
      </c>
      <c r="BY20" s="27">
        <v>0.48470160557406844</v>
      </c>
      <c r="BZ20" s="27">
        <v>0.45773573390296002</v>
      </c>
      <c r="CA20" s="27">
        <v>0.16507098052162431</v>
      </c>
      <c r="CB20" s="27">
        <v>0.11549249298795577</v>
      </c>
      <c r="CC20" s="70">
        <f>(7/6295)*100</f>
        <v>0.11119936457505958</v>
      </c>
      <c r="CD20" s="70">
        <f>(24/5856)*100</f>
        <v>0.4098360655737705</v>
      </c>
      <c r="CE20" s="70">
        <f>(25/6287)*100</f>
        <v>0.39764593605853349</v>
      </c>
      <c r="CF20" s="70">
        <f>(19/6535)*100</f>
        <v>0.29074215761285388</v>
      </c>
      <c r="CG20" s="70">
        <f>(32/6600)*100</f>
        <v>0.48484848484848486</v>
      </c>
      <c r="CH20" s="70">
        <v>0.61598557692307687</v>
      </c>
      <c r="CI20" s="70">
        <v>0.35392535392535396</v>
      </c>
      <c r="CJ20" s="70">
        <v>0.244140625</v>
      </c>
      <c r="CK20" s="70">
        <v>0.15573898146706119</v>
      </c>
      <c r="CL20" s="59">
        <v>0.14686684073107048</v>
      </c>
      <c r="CM20" s="59">
        <v>9.9304865938430978E-2</v>
      </c>
      <c r="CN20" s="59">
        <v>1.599488163787588E-2</v>
      </c>
      <c r="CO20" s="59">
        <v>0</v>
      </c>
      <c r="CP20" s="59">
        <v>1.6469038208168644E-2</v>
      </c>
      <c r="CQ20" s="59">
        <v>1.6149870801033594E-2</v>
      </c>
      <c r="CR20" s="35">
        <v>11.683785766691122</v>
      </c>
      <c r="CS20" s="35">
        <v>2.8446389496717726</v>
      </c>
      <c r="CT20" s="35">
        <v>0.11132315521628498</v>
      </c>
      <c r="CU20" s="35">
        <v>0.57575757575757569</v>
      </c>
      <c r="CV20" s="35">
        <v>0.35392535392535396</v>
      </c>
      <c r="CW20" s="11">
        <v>99.2</v>
      </c>
      <c r="CX20" s="35">
        <v>8.2619004194783887</v>
      </c>
      <c r="CY20" s="35">
        <v>1.884570082449941</v>
      </c>
      <c r="CZ20" s="35">
        <v>9.5313741064336779E-2</v>
      </c>
      <c r="DA20" s="35">
        <v>0.18209408194233689</v>
      </c>
      <c r="DB20" s="35">
        <v>0.16092693916961698</v>
      </c>
      <c r="DC20" s="35">
        <v>0.15000000000000568</v>
      </c>
    </row>
    <row r="21" spans="1:107">
      <c r="A21" s="3" t="s">
        <v>711</v>
      </c>
      <c r="B21" s="3" t="s">
        <v>712</v>
      </c>
      <c r="C21" s="3">
        <v>13</v>
      </c>
      <c r="D21" s="3" t="s">
        <v>713</v>
      </c>
      <c r="E21" s="72">
        <f t="shared" si="2"/>
        <v>96.520908656797872</v>
      </c>
      <c r="F21" s="72">
        <f t="shared" si="9"/>
        <v>96.520908656797872</v>
      </c>
      <c r="G21" s="72">
        <f t="shared" si="10"/>
        <v>97.700833562333969</v>
      </c>
      <c r="H21" s="72">
        <f t="shared" si="11"/>
        <v>97.779089984581574</v>
      </c>
      <c r="I21" s="72">
        <f t="shared" si="12"/>
        <v>97.907087363247186</v>
      </c>
      <c r="J21" s="72">
        <f t="shared" si="13"/>
        <v>98.024178694618399</v>
      </c>
      <c r="K21" s="72">
        <f t="shared" si="14"/>
        <v>98.591862682771776</v>
      </c>
      <c r="L21" s="72">
        <f t="shared" si="15"/>
        <v>98.596122624391171</v>
      </c>
      <c r="M21" s="72">
        <f t="shared" si="16"/>
        <v>98.46037830704455</v>
      </c>
      <c r="N21" s="72">
        <f t="shared" si="17"/>
        <v>98.313982213438734</v>
      </c>
      <c r="O21" s="72">
        <f t="shared" si="18"/>
        <v>98.284098664326805</v>
      </c>
      <c r="P21" s="72">
        <f t="shared" si="19"/>
        <v>98.375404530744333</v>
      </c>
      <c r="Q21" s="72">
        <f t="shared" si="20"/>
        <v>98.625317610267771</v>
      </c>
      <c r="R21" s="72">
        <f t="shared" si="21"/>
        <v>98.062909325707963</v>
      </c>
      <c r="S21" s="72">
        <f t="shared" si="22"/>
        <v>98.22451677894604</v>
      </c>
      <c r="T21" s="72">
        <f t="shared" si="23"/>
        <v>98.366726178668259</v>
      </c>
      <c r="U21" s="72">
        <f t="shared" si="24"/>
        <v>98.912763767370052</v>
      </c>
      <c r="V21" s="72">
        <f t="shared" si="25"/>
        <v>98.944896580564219</v>
      </c>
      <c r="W21" s="72">
        <f t="shared" si="26"/>
        <v>99.15987505834201</v>
      </c>
      <c r="X21" s="72">
        <f t="shared" si="27"/>
        <v>99.313397462707371</v>
      </c>
      <c r="Y21" s="72">
        <f t="shared" si="28"/>
        <v>98.967691352781685</v>
      </c>
      <c r="Z21" s="72">
        <f t="shared" si="29"/>
        <v>98.959288900136016</v>
      </c>
      <c r="AA21" s="72">
        <f t="shared" si="4"/>
        <v>99.158441879892337</v>
      </c>
      <c r="AB21" s="72">
        <f t="shared" si="5"/>
        <v>99.300741637657026</v>
      </c>
      <c r="AC21" s="72">
        <f t="shared" si="6"/>
        <v>99.464321521670627</v>
      </c>
      <c r="AD21" s="72">
        <f t="shared" si="7"/>
        <v>99.617380213919247</v>
      </c>
      <c r="AE21" s="72">
        <f t="shared" si="8"/>
        <v>99.710450118452215</v>
      </c>
      <c r="AF21" s="72">
        <f t="shared" si="8"/>
        <v>99.713910378047004</v>
      </c>
      <c r="AG21" s="73">
        <v>99.855011176221836</v>
      </c>
      <c r="AH21" s="73">
        <v>99.791497741225527</v>
      </c>
      <c r="AI21" s="27">
        <v>3.4790913432021284</v>
      </c>
      <c r="AJ21" s="88">
        <v>3.4790913432021284</v>
      </c>
      <c r="AK21" s="27">
        <v>2.2991664376660252</v>
      </c>
      <c r="AL21" s="27">
        <v>2.22091001541843</v>
      </c>
      <c r="AM21" s="87">
        <v>2.0929126367528141</v>
      </c>
      <c r="AN21" s="27">
        <v>1.9758213053816014</v>
      </c>
      <c r="AO21" s="27">
        <v>1.4081373172282263</v>
      </c>
      <c r="AP21" s="88">
        <v>1.4038773756088243</v>
      </c>
      <c r="AQ21" s="27">
        <v>1.5396216929554452</v>
      </c>
      <c r="AR21" s="27">
        <v>1.6860177865612649</v>
      </c>
      <c r="AS21" s="27">
        <v>1.7159013356731989</v>
      </c>
      <c r="AT21" s="27">
        <v>1.6245954692556634</v>
      </c>
      <c r="AU21" s="27">
        <v>1.3746823897322302</v>
      </c>
      <c r="AV21" s="27">
        <v>1.9370906742920395</v>
      </c>
      <c r="AW21" s="27">
        <v>1.7754832210539571</v>
      </c>
      <c r="AX21" s="27">
        <v>1.6332738213317464</v>
      </c>
      <c r="AY21" s="70">
        <v>1.0872362326299536</v>
      </c>
      <c r="AZ21" s="59">
        <v>1.0551034194357771</v>
      </c>
      <c r="BA21" s="70">
        <v>0.84012494165799023</v>
      </c>
      <c r="BB21" s="70">
        <v>0.6866025372926251</v>
      </c>
      <c r="BC21" s="70">
        <v>1.0323086472183203</v>
      </c>
      <c r="BD21" s="70">
        <v>1.0407110998639799</v>
      </c>
      <c r="BE21" s="70">
        <v>0.84155812010766984</v>
      </c>
      <c r="BF21" s="70">
        <v>0.69925836234296956</v>
      </c>
      <c r="BG21" s="70">
        <v>0.53567847832937066</v>
      </c>
      <c r="BH21" s="59">
        <v>0.38261978608075597</v>
      </c>
      <c r="BI21" s="59">
        <v>0.28954988154777928</v>
      </c>
      <c r="BJ21" s="59">
        <v>0.28608962195300069</v>
      </c>
      <c r="BK21" s="59">
        <v>0.1449888237781671</v>
      </c>
      <c r="BL21" s="59">
        <f t="shared" si="3"/>
        <v>0.20850225877447315</v>
      </c>
      <c r="BM21" s="27">
        <v>2.7321099665734363</v>
      </c>
      <c r="BN21" s="88">
        <v>2.7321099665734363</v>
      </c>
      <c r="BO21" s="27">
        <v>2.1129125828218984</v>
      </c>
      <c r="BP21" s="27">
        <v>2.0798477840107599</v>
      </c>
      <c r="BQ21" s="87">
        <v>1.9755826859045507</v>
      </c>
      <c r="BR21" s="27">
        <v>1.8150765212149627</v>
      </c>
      <c r="BS21" s="27">
        <v>1.2205975842339478</v>
      </c>
      <c r="BT21" s="88">
        <v>1.2192404418552829</v>
      </c>
      <c r="BU21" s="27">
        <v>1.1971344184000503</v>
      </c>
      <c r="BV21" s="27">
        <v>1.2629693675889329</v>
      </c>
      <c r="BW21" s="27">
        <v>1.1829319814110688</v>
      </c>
      <c r="BX21" s="27">
        <v>1.1715210355987054</v>
      </c>
      <c r="BY21" s="27">
        <v>1.0065802332399505</v>
      </c>
      <c r="BZ21" s="27">
        <v>1.3713372075146819</v>
      </c>
      <c r="CA21" s="27">
        <v>1.2277277592394382</v>
      </c>
      <c r="CB21" s="27">
        <v>1.2299146994643919</v>
      </c>
      <c r="CC21" s="70">
        <f>(330/31088)*100</f>
        <v>1.0615028306742151</v>
      </c>
      <c r="CD21" s="70">
        <f>(267/31087)*100</f>
        <v>0.8588799176504649</v>
      </c>
      <c r="CE21" s="70">
        <f>(168/27853)*100</f>
        <v>0.60316662478009553</v>
      </c>
      <c r="CF21" s="70">
        <f>(171/28692)*100</f>
        <v>0.59598494353826859</v>
      </c>
      <c r="CG21" s="70">
        <f>(248/30611)*100</f>
        <v>0.81016628009539049</v>
      </c>
      <c r="CH21" s="70">
        <v>0.76550786069022236</v>
      </c>
      <c r="CI21" s="70">
        <v>0.72089353670987899</v>
      </c>
      <c r="CJ21" s="70">
        <v>0.54790373845920992</v>
      </c>
      <c r="CK21" s="70">
        <v>0.3895843478759059</v>
      </c>
      <c r="CL21" s="59">
        <v>0.22319487521377432</v>
      </c>
      <c r="CM21" s="59">
        <v>0.21058173203474598</v>
      </c>
      <c r="CN21" s="59">
        <v>0.23938111224638736</v>
      </c>
      <c r="CO21" s="59">
        <v>0.12686522080589621</v>
      </c>
      <c r="CP21" s="59">
        <v>0.23746090582647977</v>
      </c>
      <c r="CQ21" s="59">
        <v>0.119011375273311</v>
      </c>
      <c r="CR21" s="35">
        <v>5.2032571446536924</v>
      </c>
      <c r="CS21" s="35">
        <v>1.2224238372648266</v>
      </c>
      <c r="CT21" s="35">
        <v>0.81605005967164468</v>
      </c>
      <c r="CU21" s="35">
        <v>0.83794311151844447</v>
      </c>
      <c r="CV21" s="35">
        <v>0.72127290737989103</v>
      </c>
      <c r="CW21" s="11">
        <v>98.3</v>
      </c>
      <c r="CX21" s="35">
        <v>4.2417017004455042</v>
      </c>
      <c r="CY21" s="35">
        <v>0.98874546957461695</v>
      </c>
      <c r="CZ21" s="35">
        <v>0.57282615691574945</v>
      </c>
      <c r="DA21" s="35">
        <v>0.67742252184442198</v>
      </c>
      <c r="DB21" s="35">
        <v>0.64098594166098966</v>
      </c>
      <c r="DC21" s="35">
        <v>0.59000000000000341</v>
      </c>
    </row>
    <row r="22" spans="1:107">
      <c r="A22" s="3" t="s">
        <v>714</v>
      </c>
      <c r="B22" s="3" t="s">
        <v>530</v>
      </c>
      <c r="C22" s="3">
        <v>14</v>
      </c>
      <c r="D22" s="3" t="s">
        <v>641</v>
      </c>
      <c r="E22" s="72">
        <f t="shared" si="2"/>
        <v>82.124033731553055</v>
      </c>
      <c r="F22" s="72">
        <f t="shared" si="9"/>
        <v>81.633546353847493</v>
      </c>
      <c r="G22" s="72">
        <f t="shared" si="10"/>
        <v>84.304394426580927</v>
      </c>
      <c r="H22" s="72">
        <f t="shared" si="11"/>
        <v>84.118566025324782</v>
      </c>
      <c r="I22" s="72">
        <f t="shared" si="12"/>
        <v>87.740914956500021</v>
      </c>
      <c r="J22" s="72">
        <f t="shared" si="13"/>
        <v>87.740914956500021</v>
      </c>
      <c r="K22" s="72">
        <f t="shared" si="14"/>
        <v>89.955311385347059</v>
      </c>
      <c r="L22" s="72">
        <f t="shared" si="15"/>
        <v>90.364937859558211</v>
      </c>
      <c r="M22" s="72">
        <f t="shared" si="16"/>
        <v>91.639922342406592</v>
      </c>
      <c r="N22" s="72">
        <f t="shared" si="17"/>
        <v>92.510380070265086</v>
      </c>
      <c r="O22" s="72">
        <f t="shared" si="18"/>
        <v>93.10000399536537</v>
      </c>
      <c r="P22" s="72">
        <f t="shared" si="19"/>
        <v>92.906616688396355</v>
      </c>
      <c r="Q22" s="72">
        <f t="shared" si="20"/>
        <v>93.78707842340512</v>
      </c>
      <c r="R22" s="72">
        <f t="shared" si="21"/>
        <v>98.326394327878319</v>
      </c>
      <c r="S22" s="72">
        <f t="shared" si="22"/>
        <v>96.446526508226697</v>
      </c>
      <c r="T22" s="72">
        <f t="shared" si="23"/>
        <v>97.033079926032457</v>
      </c>
      <c r="U22" s="72">
        <f t="shared" si="24"/>
        <v>97.095807217658745</v>
      </c>
      <c r="V22" s="72">
        <f t="shared" si="25"/>
        <v>97.604838709677423</v>
      </c>
      <c r="W22" s="72">
        <f t="shared" si="26"/>
        <v>97.706729159692003</v>
      </c>
      <c r="X22" s="72">
        <f t="shared" si="27"/>
        <v>97.683861611767142</v>
      </c>
      <c r="Y22" s="72">
        <f t="shared" si="28"/>
        <v>98.056083119204558</v>
      </c>
      <c r="Z22" s="72">
        <f t="shared" si="29"/>
        <v>98.049905640595512</v>
      </c>
      <c r="AA22" s="72">
        <f t="shared" si="4"/>
        <v>99.006448531167905</v>
      </c>
      <c r="AB22" s="72">
        <f t="shared" si="5"/>
        <v>99.063091337056349</v>
      </c>
      <c r="AC22" s="72">
        <f t="shared" si="6"/>
        <v>98.428713858424729</v>
      </c>
      <c r="AD22" s="72">
        <f t="shared" si="7"/>
        <v>97.618317097491754</v>
      </c>
      <c r="AE22" s="72">
        <f t="shared" si="8"/>
        <v>97.457388080751102</v>
      </c>
      <c r="AF22" s="72">
        <f t="shared" si="8"/>
        <v>97.695518054799493</v>
      </c>
      <c r="AG22" s="73">
        <v>98.063462435837607</v>
      </c>
      <c r="AH22" s="73">
        <v>98.429299016367949</v>
      </c>
      <c r="AI22" s="27">
        <v>17.875966268446945</v>
      </c>
      <c r="AJ22" s="27">
        <v>18.3664536461525</v>
      </c>
      <c r="AK22" s="27">
        <v>15.695605573419078</v>
      </c>
      <c r="AL22" s="27">
        <v>15.881433974675218</v>
      </c>
      <c r="AM22" s="87">
        <v>12.259085043499979</v>
      </c>
      <c r="AN22" s="88">
        <v>12.259085043499979</v>
      </c>
      <c r="AO22" s="27">
        <v>10.044688614652946</v>
      </c>
      <c r="AP22" s="27">
        <v>9.6350621404417893</v>
      </c>
      <c r="AQ22" s="27">
        <v>8.3600776575934059</v>
      </c>
      <c r="AR22" s="27">
        <v>7.4896199297349089</v>
      </c>
      <c r="AS22" s="27">
        <v>6.8999960046346231</v>
      </c>
      <c r="AT22" s="27">
        <v>7.0933833116036498</v>
      </c>
      <c r="AU22" s="27">
        <v>6.21292157659488</v>
      </c>
      <c r="AV22" s="27">
        <v>1.6736056721216868</v>
      </c>
      <c r="AW22" s="27">
        <v>3.5534734917733091</v>
      </c>
      <c r="AX22" s="27">
        <v>2.9669200739675365</v>
      </c>
      <c r="AY22" s="70">
        <v>2.9041927823412621</v>
      </c>
      <c r="AZ22" s="59">
        <v>2.3951612903225805</v>
      </c>
      <c r="BA22" s="70">
        <v>2.2932708403080015</v>
      </c>
      <c r="BB22" s="70">
        <v>2.316138388232857</v>
      </c>
      <c r="BC22" s="70">
        <v>1.9439168807954419</v>
      </c>
      <c r="BD22" s="70">
        <v>1.9500943594044873</v>
      </c>
      <c r="BE22" s="70">
        <v>0.99355146883209933</v>
      </c>
      <c r="BF22" s="70">
        <v>0.93690866294364705</v>
      </c>
      <c r="BG22" s="70">
        <v>1.5712861415752744</v>
      </c>
      <c r="BH22" s="59">
        <v>2.381682902508246</v>
      </c>
      <c r="BI22" s="59">
        <v>2.542611919248905</v>
      </c>
      <c r="BJ22" s="59">
        <v>2.3044819452005094</v>
      </c>
      <c r="BK22" s="59">
        <v>1.936537564162389</v>
      </c>
      <c r="BL22" s="59">
        <f t="shared" si="3"/>
        <v>1.5707009836320509</v>
      </c>
      <c r="BM22" s="27">
        <v>15.416373858046381</v>
      </c>
      <c r="BN22" s="27">
        <v>12.286614724678282</v>
      </c>
      <c r="BO22" s="27">
        <v>10.267952840300106</v>
      </c>
      <c r="BP22" s="27">
        <v>8.9952310475250776</v>
      </c>
      <c r="BQ22" s="87">
        <v>8.1463597385838575</v>
      </c>
      <c r="BR22" s="88">
        <v>8.1463597385838575</v>
      </c>
      <c r="BS22" s="27">
        <v>8.6220327169857747</v>
      </c>
      <c r="BT22" s="27">
        <v>8.1858504237846379</v>
      </c>
      <c r="BU22" s="27">
        <v>7.2823804429652528</v>
      </c>
      <c r="BV22" s="27">
        <v>6.4955285851165767</v>
      </c>
      <c r="BW22" s="27">
        <v>5.9730712373646568</v>
      </c>
      <c r="BX22" s="27">
        <v>5.1906779661016946</v>
      </c>
      <c r="BY22" s="27">
        <v>5.2011377488825676</v>
      </c>
      <c r="BZ22" s="27">
        <v>1.2242878931530567</v>
      </c>
      <c r="CA22" s="27">
        <v>2.734613040828763</v>
      </c>
      <c r="CB22" s="27">
        <v>2.2724470926648856</v>
      </c>
      <c r="CC22" s="70">
        <f>(559/25687)*100</f>
        <v>2.1761980768482112</v>
      </c>
      <c r="CD22" s="70">
        <f>(495/24800)*100</f>
        <v>1.9959677419354838</v>
      </c>
      <c r="CE22" s="70">
        <f>(450/23896)*100</f>
        <v>1.8831603615667893</v>
      </c>
      <c r="CF22" s="70">
        <f>(402/24135)*100</f>
        <v>1.6656308266003728</v>
      </c>
      <c r="CG22" s="70">
        <f>(407/26853)*100</f>
        <v>1.5156593304286299</v>
      </c>
      <c r="CH22" s="70">
        <v>1.5894317466974208</v>
      </c>
      <c r="CI22" s="70">
        <v>0.91712443276809175</v>
      </c>
      <c r="CJ22" s="70">
        <v>0.7061429824156551</v>
      </c>
      <c r="CK22" s="70">
        <v>1.2123629112662013</v>
      </c>
      <c r="CL22" s="59">
        <v>2.1170514688962183</v>
      </c>
      <c r="CM22" s="59">
        <v>2.0832493855018739</v>
      </c>
      <c r="CN22" s="59">
        <v>2.0867356196697511</v>
      </c>
      <c r="CO22" s="59">
        <v>1.769326489345155</v>
      </c>
      <c r="CP22" s="59">
        <v>1.7884219120562965</v>
      </c>
      <c r="CQ22" s="59">
        <v>1.0603882099209201</v>
      </c>
      <c r="CR22" s="35">
        <v>26.699138591981235</v>
      </c>
      <c r="CS22" s="35">
        <v>8.729401021128222</v>
      </c>
      <c r="CT22" s="35">
        <v>2.2956085713166452</v>
      </c>
      <c r="CU22" s="35">
        <v>1.9439168807954419</v>
      </c>
      <c r="CV22" s="35">
        <v>0.91712443276809175</v>
      </c>
      <c r="CW22" s="11">
        <v>93.1</v>
      </c>
      <c r="CX22" s="35">
        <v>23.650156180276664</v>
      </c>
      <c r="CY22" s="35">
        <v>8.3676954475405054</v>
      </c>
      <c r="CZ22" s="35">
        <v>1.3875859912445279</v>
      </c>
      <c r="DA22" s="35">
        <v>1.3744803565409536</v>
      </c>
      <c r="DB22" s="35">
        <v>0.91247850181540235</v>
      </c>
      <c r="DC22" s="35">
        <v>0.81999999999999318</v>
      </c>
    </row>
    <row r="23" spans="1:107">
      <c r="A23" s="3" t="s">
        <v>620</v>
      </c>
      <c r="B23" s="3" t="s">
        <v>621</v>
      </c>
      <c r="C23" s="3">
        <v>15</v>
      </c>
      <c r="D23" s="3" t="s">
        <v>541</v>
      </c>
      <c r="E23" s="72">
        <f t="shared" si="2"/>
        <v>96.773041200285789</v>
      </c>
      <c r="F23" s="72">
        <f t="shared" si="9"/>
        <v>96.731798092579666</v>
      </c>
      <c r="G23" s="72">
        <f t="shared" si="10"/>
        <v>97.477775480669834</v>
      </c>
      <c r="H23" s="72">
        <f t="shared" si="11"/>
        <v>95.35707060489581</v>
      </c>
      <c r="I23" s="72">
        <f t="shared" si="12"/>
        <v>96.685236768802227</v>
      </c>
      <c r="J23" s="72">
        <f t="shared" si="13"/>
        <v>96.648718900854064</v>
      </c>
      <c r="K23" s="72">
        <f t="shared" si="14"/>
        <v>97.54171900233267</v>
      </c>
      <c r="L23" s="72">
        <f t="shared" si="15"/>
        <v>98.071479122434539</v>
      </c>
      <c r="M23" s="72">
        <f t="shared" si="16"/>
        <v>98.451953936190293</v>
      </c>
      <c r="N23" s="72">
        <f t="shared" si="17"/>
        <v>98.627603659723576</v>
      </c>
      <c r="O23" s="72">
        <f t="shared" si="18"/>
        <v>98.241158765989468</v>
      </c>
      <c r="P23" s="72">
        <f t="shared" si="19"/>
        <v>99.116489004129448</v>
      </c>
      <c r="Q23" s="72">
        <f t="shared" si="20"/>
        <v>99.450602409638549</v>
      </c>
      <c r="R23" s="72">
        <f t="shared" si="21"/>
        <v>99.369553124420548</v>
      </c>
      <c r="S23" s="72">
        <f t="shared" si="22"/>
        <v>99.472192356563383</v>
      </c>
      <c r="T23" s="72">
        <f t="shared" si="23"/>
        <v>99.408995291996391</v>
      </c>
      <c r="U23" s="72">
        <f t="shared" si="24"/>
        <v>99.532803180914513</v>
      </c>
      <c r="V23" s="72">
        <f t="shared" si="25"/>
        <v>99.589785663008925</v>
      </c>
      <c r="W23" s="72">
        <f t="shared" si="26"/>
        <v>99.610894941634243</v>
      </c>
      <c r="X23" s="72">
        <f t="shared" si="27"/>
        <v>99.61169016963008</v>
      </c>
      <c r="Y23" s="72">
        <f t="shared" si="28"/>
        <v>99.52536339365173</v>
      </c>
      <c r="Z23" s="72">
        <f t="shared" si="29"/>
        <v>99.720104237042761</v>
      </c>
      <c r="AA23" s="72">
        <f t="shared" si="4"/>
        <v>99.739559110780391</v>
      </c>
      <c r="AB23" s="72">
        <f t="shared" si="5"/>
        <v>99.771271729185727</v>
      </c>
      <c r="AC23" s="72">
        <f t="shared" si="6"/>
        <v>99.826207855404931</v>
      </c>
      <c r="AD23" s="72">
        <f t="shared" si="7"/>
        <v>99.957118353344768</v>
      </c>
      <c r="AE23" s="72">
        <f t="shared" si="8"/>
        <v>99.820686282500617</v>
      </c>
      <c r="AF23" s="72">
        <f t="shared" si="8"/>
        <v>99.807152875175319</v>
      </c>
      <c r="AG23" s="73">
        <v>99.806047782773518</v>
      </c>
      <c r="AH23" s="73">
        <v>99.870432754599634</v>
      </c>
      <c r="AI23" s="27">
        <v>3.2269587997142177</v>
      </c>
      <c r="AJ23" s="27">
        <v>3.2682019074203303</v>
      </c>
      <c r="AK23" s="27">
        <v>2.5222245193301633</v>
      </c>
      <c r="AL23" s="27">
        <v>4.6429293951041881</v>
      </c>
      <c r="AM23" s="87">
        <v>3.3147632311977717</v>
      </c>
      <c r="AN23" s="27">
        <v>3.3512810991459343</v>
      </c>
      <c r="AO23" s="27">
        <v>2.4582809976673246</v>
      </c>
      <c r="AP23" s="27">
        <v>1.9285208775654636</v>
      </c>
      <c r="AQ23" s="27">
        <v>1.5480460638097038</v>
      </c>
      <c r="AR23" s="27">
        <v>1.3723963402764261</v>
      </c>
      <c r="AS23" s="27">
        <v>1.7588412340105342</v>
      </c>
      <c r="AT23" s="27">
        <v>0.88351099587054649</v>
      </c>
      <c r="AU23" s="27">
        <v>0.54939759036144575</v>
      </c>
      <c r="AV23" s="27">
        <v>0.63044687557945478</v>
      </c>
      <c r="AW23" s="27">
        <v>0.52780764343661424</v>
      </c>
      <c r="AX23" s="27">
        <v>0.59100470800360605</v>
      </c>
      <c r="AY23" s="70">
        <v>0.46719681908548705</v>
      </c>
      <c r="AZ23" s="59">
        <v>0.41021433699107779</v>
      </c>
      <c r="BA23" s="70">
        <v>0.38910505836575876</v>
      </c>
      <c r="BB23" s="70">
        <v>0.38830983036991618</v>
      </c>
      <c r="BC23" s="70">
        <v>0.47463660634826466</v>
      </c>
      <c r="BD23" s="70">
        <v>0.2798957629572435</v>
      </c>
      <c r="BE23" s="70">
        <v>0.26044088921960745</v>
      </c>
      <c r="BF23" s="70">
        <v>0.22872827081427266</v>
      </c>
      <c r="BG23" s="70">
        <v>0.17379214459506431</v>
      </c>
      <c r="BH23" s="59">
        <v>4.2881646655231559E-2</v>
      </c>
      <c r="BI23" s="59">
        <v>0.17931371749938529</v>
      </c>
      <c r="BJ23" s="59">
        <v>0.19284712482467992</v>
      </c>
      <c r="BK23" s="59">
        <v>0.19395221722648329</v>
      </c>
      <c r="BL23" s="59">
        <f t="shared" si="3"/>
        <v>0.12956724540036646</v>
      </c>
      <c r="BM23" s="27">
        <v>2.4053346034770184</v>
      </c>
      <c r="BN23" s="27">
        <v>2.5936264247499419</v>
      </c>
      <c r="BO23" s="27">
        <v>1.7572875749431467</v>
      </c>
      <c r="BP23" s="27">
        <v>2.4175601861217881</v>
      </c>
      <c r="BQ23" s="87">
        <v>1.5598885793871866</v>
      </c>
      <c r="BR23" s="27">
        <v>1.3646490902339399</v>
      </c>
      <c r="BS23" s="27">
        <v>0.93307015969854645</v>
      </c>
      <c r="BT23" s="27">
        <v>0.86694975230007065</v>
      </c>
      <c r="BU23" s="27">
        <v>0.77402303190485189</v>
      </c>
      <c r="BV23" s="27">
        <v>0.59373175004866652</v>
      </c>
      <c r="BW23" s="27">
        <v>0.49849510910458994</v>
      </c>
      <c r="BX23" s="27">
        <v>0.5954095841736291</v>
      </c>
      <c r="BY23" s="27">
        <v>0.41445783132530123</v>
      </c>
      <c r="BZ23" s="27">
        <v>0.48210643426664196</v>
      </c>
      <c r="CA23" s="27">
        <v>0.39096862476786243</v>
      </c>
      <c r="CB23" s="27">
        <v>0.48081738956225584</v>
      </c>
      <c r="CC23" s="70">
        <f>(42/10060)*100</f>
        <v>0.41749502982107356</v>
      </c>
      <c r="CD23" s="70">
        <f>(38/9751)*100</f>
        <v>0.38970362014152393</v>
      </c>
      <c r="CE23" s="70">
        <f>(19/9766)*100</f>
        <v>0.19455252918287938</v>
      </c>
      <c r="CF23" s="70">
        <f>(28/9786)*100</f>
        <v>0.28612303290414876</v>
      </c>
      <c r="CG23" s="70">
        <f>(28/10113)*100</f>
        <v>0.27687135370315435</v>
      </c>
      <c r="CH23" s="70">
        <v>0.19303156066016794</v>
      </c>
      <c r="CI23" s="70">
        <v>0.17672774625616222</v>
      </c>
      <c r="CJ23" s="70">
        <v>0.15553522415370538</v>
      </c>
      <c r="CK23" s="70">
        <v>0.13034410844629821</v>
      </c>
      <c r="CL23" s="59">
        <v>1.7152658662092621E-2</v>
      </c>
      <c r="CM23" s="59">
        <v>0.13856059988589128</v>
      </c>
      <c r="CN23" s="59">
        <v>0.16654978962131836</v>
      </c>
      <c r="CO23" s="59">
        <v>0.16750418760469013</v>
      </c>
      <c r="CP23" s="59">
        <v>0.16411851084045953</v>
      </c>
      <c r="CQ23" s="59">
        <v>0.12231917149147843</v>
      </c>
      <c r="CR23" s="35">
        <v>6.6850696111377825</v>
      </c>
      <c r="CS23" s="35">
        <v>0.94631483166515018</v>
      </c>
      <c r="CT23" s="35">
        <v>0.44740505070590575</v>
      </c>
      <c r="CU23" s="35">
        <v>0.47463660634826466</v>
      </c>
      <c r="CV23" s="35">
        <v>0.17672774625616222</v>
      </c>
      <c r="CW23" s="11">
        <v>98.2</v>
      </c>
      <c r="CX23" s="35">
        <v>4.8348492101483966</v>
      </c>
      <c r="CY23" s="35">
        <v>0.8260752446798959</v>
      </c>
      <c r="CZ23" s="35">
        <v>0.32829287703939514</v>
      </c>
      <c r="DA23" s="35">
        <v>0.25773195876288657</v>
      </c>
      <c r="DB23" s="35">
        <v>0.10238272524199553</v>
      </c>
      <c r="DC23" s="35">
        <v>0.15999999999999659</v>
      </c>
    </row>
    <row r="24" spans="1:107">
      <c r="A24" s="3" t="s">
        <v>622</v>
      </c>
      <c r="B24" s="3" t="s">
        <v>925</v>
      </c>
      <c r="C24" s="3">
        <v>16</v>
      </c>
      <c r="D24" s="3" t="s">
        <v>541</v>
      </c>
      <c r="E24" s="72">
        <f t="shared" si="2"/>
        <v>97.607573149741825</v>
      </c>
      <c r="F24" s="72">
        <f t="shared" si="9"/>
        <v>97.597827009591711</v>
      </c>
      <c r="G24" s="72">
        <f t="shared" si="10"/>
        <v>97.597827009591711</v>
      </c>
      <c r="H24" s="72">
        <f t="shared" si="11"/>
        <v>97.69659742988766</v>
      </c>
      <c r="I24" s="72">
        <f t="shared" si="12"/>
        <v>97.595636810569985</v>
      </c>
      <c r="J24" s="72">
        <f t="shared" si="13"/>
        <v>97.59827013669009</v>
      </c>
      <c r="K24" s="72">
        <f t="shared" si="14"/>
        <v>98.917936971803172</v>
      </c>
      <c r="L24" s="72">
        <f t="shared" si="15"/>
        <v>97.846928826779333</v>
      </c>
      <c r="M24" s="72">
        <f t="shared" si="16"/>
        <v>98.360131189504841</v>
      </c>
      <c r="N24" s="72">
        <f t="shared" si="17"/>
        <v>97.887831026482118</v>
      </c>
      <c r="O24" s="72">
        <f t="shared" si="18"/>
        <v>99.096485411140577</v>
      </c>
      <c r="P24" s="72">
        <f t="shared" si="19"/>
        <v>98.814511097245742</v>
      </c>
      <c r="Q24" s="72">
        <f t="shared" si="20"/>
        <v>98.887095403958881</v>
      </c>
      <c r="R24" s="72">
        <f t="shared" si="21"/>
        <v>98.801072724404477</v>
      </c>
      <c r="S24" s="72">
        <f t="shared" si="22"/>
        <v>99.464852607709744</v>
      </c>
      <c r="T24" s="72">
        <f t="shared" si="23"/>
        <v>99.228903136371514</v>
      </c>
      <c r="U24" s="72">
        <f t="shared" si="24"/>
        <v>99.328239146863723</v>
      </c>
      <c r="V24" s="72">
        <f t="shared" si="25"/>
        <v>99.543057996485061</v>
      </c>
      <c r="W24" s="72">
        <f t="shared" si="26"/>
        <v>99.597495527728086</v>
      </c>
      <c r="X24" s="72">
        <f t="shared" si="27"/>
        <v>99.614147909967841</v>
      </c>
      <c r="Y24" s="72">
        <f t="shared" si="28"/>
        <v>99.638888888888886</v>
      </c>
      <c r="Z24" s="72">
        <f t="shared" si="29"/>
        <v>99.78502328914368</v>
      </c>
      <c r="AA24" s="72">
        <f t="shared" si="4"/>
        <v>99.775885253249669</v>
      </c>
      <c r="AB24" s="72">
        <f t="shared" si="5"/>
        <v>99.755543914789598</v>
      </c>
      <c r="AC24" s="72">
        <f t="shared" si="6"/>
        <v>99.692869594089814</v>
      </c>
      <c r="AD24" s="72">
        <f t="shared" si="7"/>
        <v>99.745784255571564</v>
      </c>
      <c r="AE24" s="72">
        <f t="shared" si="8"/>
        <v>99.695473251028815</v>
      </c>
      <c r="AF24" s="72">
        <f t="shared" si="8"/>
        <v>99.725754176015954</v>
      </c>
      <c r="AG24" s="73">
        <v>99.704915268527103</v>
      </c>
      <c r="AH24" s="73">
        <v>99.608757179721962</v>
      </c>
      <c r="AI24" s="27">
        <v>2.3924268502581758</v>
      </c>
      <c r="AJ24" s="88">
        <v>2.4021729904082845</v>
      </c>
      <c r="AK24" s="88">
        <v>2.4021729904082845</v>
      </c>
      <c r="AL24" s="88">
        <v>2.3034025701123411</v>
      </c>
      <c r="AM24" s="89">
        <v>2.4043631894300201</v>
      </c>
      <c r="AN24" s="88">
        <v>2.401729863309908</v>
      </c>
      <c r="AO24" s="88">
        <v>1.0820630281968249</v>
      </c>
      <c r="AP24" s="27">
        <v>2.1530711732206695</v>
      </c>
      <c r="AQ24" s="27">
        <v>1.6398688104951604</v>
      </c>
      <c r="AR24" s="27">
        <v>2.1121689735178815</v>
      </c>
      <c r="AS24" s="27">
        <v>0.90351458885941649</v>
      </c>
      <c r="AT24" s="27">
        <v>1.1854889027542563</v>
      </c>
      <c r="AU24" s="27">
        <v>1.1129045960411179</v>
      </c>
      <c r="AV24" s="27">
        <v>1.1989272755955198</v>
      </c>
      <c r="AW24" s="27">
        <v>0.53514739229024944</v>
      </c>
      <c r="AX24" s="27">
        <v>0.77109686362848728</v>
      </c>
      <c r="AY24" s="70">
        <v>0.67176085313628342</v>
      </c>
      <c r="AZ24" s="59">
        <v>0.45694200351493847</v>
      </c>
      <c r="BA24" s="70">
        <v>0.40250447227191416</v>
      </c>
      <c r="BB24" s="70">
        <v>0.38585209003215432</v>
      </c>
      <c r="BC24" s="70">
        <v>0.3611111111111111</v>
      </c>
      <c r="BD24" s="70">
        <v>0.21497671085632392</v>
      </c>
      <c r="BE24" s="70">
        <v>0.22411474675033619</v>
      </c>
      <c r="BF24" s="70">
        <v>0.24445608521040685</v>
      </c>
      <c r="BG24" s="70">
        <v>0.30713040591018509</v>
      </c>
      <c r="BH24" s="59">
        <v>0.25421574442843825</v>
      </c>
      <c r="BI24" s="59">
        <v>0.30452674897119003</v>
      </c>
      <c r="BJ24" s="59">
        <v>0.27424582398404285</v>
      </c>
      <c r="BK24" s="59">
        <v>0.29508473147289438</v>
      </c>
      <c r="BL24" s="59">
        <f t="shared" si="3"/>
        <v>0.39124282027803758</v>
      </c>
      <c r="BM24" s="27">
        <v>1.53184165232358</v>
      </c>
      <c r="BN24" s="88">
        <v>1.5024191494779731</v>
      </c>
      <c r="BO24" s="88">
        <v>1.5024191494779731</v>
      </c>
      <c r="BP24" s="88">
        <v>1.503273256283844</v>
      </c>
      <c r="BQ24" s="89">
        <v>1.7130127515747426</v>
      </c>
      <c r="BR24" s="88">
        <v>1.7144181017839215</v>
      </c>
      <c r="BS24" s="88">
        <v>1.0030803254087355</v>
      </c>
      <c r="BT24" s="27">
        <v>1.9337016574585635</v>
      </c>
      <c r="BU24" s="27">
        <v>1.5038796896248299</v>
      </c>
      <c r="BV24" s="27">
        <v>2.0081606528522284</v>
      </c>
      <c r="BW24" s="27">
        <v>8.2891246684350134E-2</v>
      </c>
      <c r="BX24" s="27">
        <v>0.73090293252518057</v>
      </c>
      <c r="BY24" s="27">
        <v>0.61167275507603436</v>
      </c>
      <c r="BZ24" s="27">
        <v>0.61523899668717463</v>
      </c>
      <c r="CA24" s="27">
        <v>0.34467120181405897</v>
      </c>
      <c r="CB24" s="27">
        <v>0.56316063073990641</v>
      </c>
      <c r="CC24" s="70">
        <f>(55/11909)*100</f>
        <v>0.46183558653119489</v>
      </c>
      <c r="CD24" s="70">
        <f>(44/11380)*100</f>
        <v>0.38664323374340948</v>
      </c>
      <c r="CE24" s="70">
        <f>(34/11180)*100</f>
        <v>0.30411449016100178</v>
      </c>
      <c r="CF24" s="70">
        <f>(35/10885)*100</f>
        <v>0.32154340836012862</v>
      </c>
      <c r="CG24" s="70">
        <f>(29/10800)*100</f>
        <v>0.26851851851851849</v>
      </c>
      <c r="CH24" s="70">
        <v>0.17914725904693657</v>
      </c>
      <c r="CI24" s="70">
        <v>0.17032720753025549</v>
      </c>
      <c r="CJ24" s="70">
        <v>0.16588091496420465</v>
      </c>
      <c r="CK24" s="70">
        <v>0.20752054453390886</v>
      </c>
      <c r="CL24" s="59">
        <v>0.20337259554275064</v>
      </c>
      <c r="CM24" s="59">
        <v>0.27160493827160492</v>
      </c>
      <c r="CN24" s="59">
        <v>0.20776198786669992</v>
      </c>
      <c r="CO24" s="59">
        <v>0.25292976983390947</v>
      </c>
      <c r="CP24" s="59">
        <v>0.20810788312661285</v>
      </c>
      <c r="CQ24" s="59">
        <v>0.37292257802999595</v>
      </c>
      <c r="CR24" s="35">
        <v>4.0901213171577124</v>
      </c>
      <c r="CS24" s="35">
        <v>1.0034766118836915</v>
      </c>
      <c r="CT24" s="35">
        <v>0.58828472980922764</v>
      </c>
      <c r="CU24" s="35">
        <v>0.3611111111111111</v>
      </c>
      <c r="CV24" s="35">
        <v>0.17032720753025549</v>
      </c>
      <c r="CW24" s="11">
        <v>99.1</v>
      </c>
      <c r="CX24" s="35">
        <v>2.76454576386526</v>
      </c>
      <c r="CY24" s="35">
        <v>0.60835901082404997</v>
      </c>
      <c r="CZ24" s="35">
        <v>0.25203730152062503</v>
      </c>
      <c r="DA24" s="35">
        <v>0.42636018166651213</v>
      </c>
      <c r="DB24" s="35">
        <v>0.42258586585146557</v>
      </c>
      <c r="DC24" s="35">
        <v>0.48999999999999488</v>
      </c>
    </row>
    <row r="25" spans="1:107">
      <c r="A25" s="3" t="s">
        <v>926</v>
      </c>
      <c r="B25" s="3" t="s">
        <v>927</v>
      </c>
      <c r="C25" s="3">
        <v>17</v>
      </c>
      <c r="D25" s="3" t="s">
        <v>664</v>
      </c>
      <c r="E25" s="72">
        <f t="shared" si="2"/>
        <v>80.594346049046322</v>
      </c>
      <c r="F25" s="72">
        <f t="shared" si="9"/>
        <v>80.909842845326722</v>
      </c>
      <c r="G25" s="72">
        <f t="shared" si="10"/>
        <v>82.177683561379837</v>
      </c>
      <c r="H25" s="72">
        <f t="shared" si="11"/>
        <v>82.177683561379837</v>
      </c>
      <c r="I25" s="72">
        <f t="shared" si="12"/>
        <v>82.177683561379837</v>
      </c>
      <c r="J25" s="72">
        <f t="shared" si="13"/>
        <v>82.177683561379837</v>
      </c>
      <c r="K25" s="72">
        <f t="shared" si="14"/>
        <v>82.17349490286594</v>
      </c>
      <c r="L25" s="72">
        <f t="shared" si="15"/>
        <v>84.626776065639376</v>
      </c>
      <c r="M25" s="72">
        <f t="shared" si="16"/>
        <v>84.63471048014037</v>
      </c>
      <c r="N25" s="72">
        <f t="shared" si="17"/>
        <v>88.458023759386549</v>
      </c>
      <c r="O25" s="72">
        <f t="shared" si="18"/>
        <v>87.738811829364039</v>
      </c>
      <c r="P25" s="72">
        <f t="shared" si="19"/>
        <v>95.940882597835142</v>
      </c>
      <c r="Q25" s="72">
        <f t="shared" si="20"/>
        <v>92.636442390990467</v>
      </c>
      <c r="R25" s="72">
        <f t="shared" si="21"/>
        <v>90.71819841752891</v>
      </c>
      <c r="S25" s="72">
        <f t="shared" si="22"/>
        <v>91.194105890190855</v>
      </c>
      <c r="T25" s="72">
        <f t="shared" si="23"/>
        <v>92.160626535626534</v>
      </c>
      <c r="U25" s="72">
        <f t="shared" si="24"/>
        <v>92.50184158492614</v>
      </c>
      <c r="V25" s="72">
        <f t="shared" si="25"/>
        <v>94.710223654141529</v>
      </c>
      <c r="W25" s="72">
        <f t="shared" si="26"/>
        <v>95.093889069792681</v>
      </c>
      <c r="X25" s="72">
        <f t="shared" si="27"/>
        <v>95.327065090190061</v>
      </c>
      <c r="Y25" s="72">
        <f t="shared" si="28"/>
        <v>94.82519524122327</v>
      </c>
      <c r="Z25" s="72">
        <f t="shared" si="29"/>
        <v>95.931608274177549</v>
      </c>
      <c r="AA25" s="72">
        <f t="shared" si="4"/>
        <v>96.741221741221736</v>
      </c>
      <c r="AB25" s="72">
        <f t="shared" si="5"/>
        <v>96.453616509717492</v>
      </c>
      <c r="AC25" s="72">
        <f t="shared" si="6"/>
        <v>96.999087174806021</v>
      </c>
      <c r="AD25" s="72">
        <f t="shared" si="7"/>
        <v>97.415863094103742</v>
      </c>
      <c r="AE25" s="72">
        <f t="shared" si="8"/>
        <v>98.175365643819902</v>
      </c>
      <c r="AF25" s="72">
        <f t="shared" si="8"/>
        <v>98.571887607554714</v>
      </c>
      <c r="AG25" s="73">
        <v>99.15543710821666</v>
      </c>
      <c r="AH25" s="73">
        <v>99.241401947554621</v>
      </c>
      <c r="AI25" s="27">
        <v>19.405653950953678</v>
      </c>
      <c r="AJ25" s="27">
        <v>19.090157154673285</v>
      </c>
      <c r="AK25" s="27">
        <v>17.82231643862016</v>
      </c>
      <c r="AL25" s="88">
        <v>17.82231643862016</v>
      </c>
      <c r="AM25" s="89">
        <v>17.82231643862016</v>
      </c>
      <c r="AN25" s="88">
        <v>17.82231643862016</v>
      </c>
      <c r="AO25" s="88">
        <v>17.826505097134067</v>
      </c>
      <c r="AP25" s="88">
        <v>15.373223934360617</v>
      </c>
      <c r="AQ25" s="88">
        <v>15.365289519859626</v>
      </c>
      <c r="AR25" s="88">
        <v>11.541976240613453</v>
      </c>
      <c r="AS25" s="88">
        <v>12.261188170635959</v>
      </c>
      <c r="AT25" s="27">
        <v>4.0591174021648628</v>
      </c>
      <c r="AU25" s="27">
        <v>7.3635576090095283</v>
      </c>
      <c r="AV25" s="27">
        <v>9.2818015824710898</v>
      </c>
      <c r="AW25" s="27">
        <v>8.805894109809147</v>
      </c>
      <c r="AX25" s="27">
        <v>7.8393734643734643</v>
      </c>
      <c r="AY25" s="70">
        <v>7.4981584150738581</v>
      </c>
      <c r="AZ25" s="59">
        <v>5.2897763458584652</v>
      </c>
      <c r="BA25" s="70">
        <v>4.9061109302073156</v>
      </c>
      <c r="BB25" s="70">
        <v>4.6729349098099355</v>
      </c>
      <c r="BC25" s="70">
        <v>5.1748047587767321</v>
      </c>
      <c r="BD25" s="70">
        <v>4.0683917258224556</v>
      </c>
      <c r="BE25" s="70">
        <v>3.2587782587782588</v>
      </c>
      <c r="BF25" s="70">
        <v>3.5463834902825084</v>
      </c>
      <c r="BG25" s="70">
        <v>3.0009128251939754</v>
      </c>
      <c r="BH25" s="59">
        <v>2.5841369058962531</v>
      </c>
      <c r="BI25" s="59">
        <v>1.8246343561800993</v>
      </c>
      <c r="BJ25" s="59">
        <v>1.428112392445291</v>
      </c>
      <c r="BK25" s="59">
        <v>0.84456289178334154</v>
      </c>
      <c r="BL25" s="59">
        <f t="shared" si="3"/>
        <v>0.75859805244537881</v>
      </c>
      <c r="BM25" s="27">
        <v>19.099114441416894</v>
      </c>
      <c r="BN25" s="27">
        <v>18.535980148883375</v>
      </c>
      <c r="BO25" s="27">
        <v>17.190210059741762</v>
      </c>
      <c r="BP25" s="88">
        <v>17.190210059741762</v>
      </c>
      <c r="BQ25" s="89">
        <v>17.190210059741762</v>
      </c>
      <c r="BR25" s="88">
        <v>17.190210059741762</v>
      </c>
      <c r="BS25" s="88">
        <v>17.176380073090979</v>
      </c>
      <c r="BT25" s="88">
        <v>14.528717230338204</v>
      </c>
      <c r="BU25" s="88">
        <v>14.511883873026003</v>
      </c>
      <c r="BV25" s="88">
        <v>9.9487464738368629</v>
      </c>
      <c r="BW25" s="88">
        <v>10.638576288929599</v>
      </c>
      <c r="BX25" s="27">
        <v>3.5595337218984184</v>
      </c>
      <c r="BY25" s="27">
        <v>6.3322470195123968</v>
      </c>
      <c r="BZ25" s="27">
        <v>7.6080340839926954</v>
      </c>
      <c r="CA25" s="27">
        <v>7.4734490731669085</v>
      </c>
      <c r="CB25" s="27">
        <v>6.3421375921375924</v>
      </c>
      <c r="CC25" s="70">
        <f>(1475/25793)*100</f>
        <v>5.7186058232853876</v>
      </c>
      <c r="CD25" s="70">
        <f>(1247/26693)*100</f>
        <v>4.6716367587007834</v>
      </c>
      <c r="CE25" s="70">
        <f>(1235/27639)*100</f>
        <v>4.4683237454321789</v>
      </c>
      <c r="CF25" s="70">
        <f>(975/24781)*100</f>
        <v>3.9344659214720954</v>
      </c>
      <c r="CG25" s="70">
        <f>(1235/24402)*100</f>
        <v>5.0610605688058357</v>
      </c>
      <c r="CH25" s="70">
        <v>3.618044424089764</v>
      </c>
      <c r="CI25" s="70">
        <v>2.9982363315696645</v>
      </c>
      <c r="CJ25" s="70">
        <v>3.3019434982969345</v>
      </c>
      <c r="CK25" s="70">
        <v>2.7993305948577514</v>
      </c>
      <c r="CL25" s="59">
        <v>2.4507375080992491</v>
      </c>
      <c r="CM25" s="59">
        <v>1.7027530828792659</v>
      </c>
      <c r="CN25" s="59">
        <v>1.3245742439930022</v>
      </c>
      <c r="CO25" s="59">
        <v>0.77699786044067409</v>
      </c>
      <c r="CP25" s="59">
        <v>1.3530763339290273</v>
      </c>
      <c r="CQ25" s="59">
        <v>0.54514120915837239</v>
      </c>
      <c r="CR25" s="35">
        <v>27.266930238489991</v>
      </c>
      <c r="CS25" s="35">
        <v>17.184974212916636</v>
      </c>
      <c r="CT25" s="35">
        <v>6.1297556753354057</v>
      </c>
      <c r="CU25" s="35">
        <v>4.7158049138247158</v>
      </c>
      <c r="CV25" s="35">
        <v>3.0029306676301739</v>
      </c>
      <c r="CW25" s="11">
        <v>87.7</v>
      </c>
      <c r="CX25" s="35">
        <v>24.754203021919558</v>
      </c>
      <c r="CY25" s="35">
        <v>15.91136416096022</v>
      </c>
      <c r="CZ25" s="35">
        <v>3.8685847589424576</v>
      </c>
      <c r="DA25" s="35">
        <v>4.4595285015692285</v>
      </c>
      <c r="DB25" s="35">
        <v>2.7458211408185353</v>
      </c>
      <c r="DC25" s="35">
        <v>3.1400000000000006</v>
      </c>
    </row>
    <row r="26" spans="1:107">
      <c r="A26" s="3" t="s">
        <v>928</v>
      </c>
      <c r="B26" s="3" t="s">
        <v>929</v>
      </c>
      <c r="C26" s="3">
        <v>18</v>
      </c>
      <c r="D26" s="3" t="s">
        <v>713</v>
      </c>
      <c r="E26" s="72">
        <f t="shared" si="2"/>
        <v>97.561787467754016</v>
      </c>
      <c r="F26" s="72">
        <f t="shared" si="9"/>
        <v>98.412178752660012</v>
      </c>
      <c r="G26" s="72">
        <f t="shared" si="10"/>
        <v>98.32723877693924</v>
      </c>
      <c r="H26" s="72">
        <f t="shared" si="11"/>
        <v>98.022510551821171</v>
      </c>
      <c r="I26" s="72">
        <f t="shared" si="12"/>
        <v>97.846833346478434</v>
      </c>
      <c r="J26" s="72">
        <f t="shared" si="13"/>
        <v>98.125103700016595</v>
      </c>
      <c r="K26" s="72">
        <f t="shared" si="14"/>
        <v>98.370886691522131</v>
      </c>
      <c r="L26" s="72">
        <f t="shared" si="15"/>
        <v>98.479169669886119</v>
      </c>
      <c r="M26" s="72">
        <f t="shared" si="16"/>
        <v>98.749328627330627</v>
      </c>
      <c r="N26" s="72">
        <f t="shared" si="17"/>
        <v>97.963249944653526</v>
      </c>
      <c r="O26" s="72">
        <f t="shared" si="18"/>
        <v>97.358070500927639</v>
      </c>
      <c r="P26" s="72">
        <f t="shared" si="19"/>
        <v>98.572536850271533</v>
      </c>
      <c r="Q26" s="72">
        <f t="shared" si="20"/>
        <v>98.912277956021597</v>
      </c>
      <c r="R26" s="72">
        <f t="shared" si="21"/>
        <v>98.343239227340263</v>
      </c>
      <c r="S26" s="72">
        <f t="shared" si="22"/>
        <v>98.607634543178975</v>
      </c>
      <c r="T26" s="72">
        <f t="shared" si="23"/>
        <v>99.201628052598622</v>
      </c>
      <c r="U26" s="72">
        <f t="shared" si="24"/>
        <v>99.328961415281384</v>
      </c>
      <c r="V26" s="72">
        <f t="shared" si="25"/>
        <v>99.093217265143267</v>
      </c>
      <c r="W26" s="72">
        <f t="shared" si="26"/>
        <v>98.989512363163129</v>
      </c>
      <c r="X26" s="72">
        <f t="shared" si="27"/>
        <v>98.925331472435445</v>
      </c>
      <c r="Y26" s="72">
        <f t="shared" si="28"/>
        <v>99.180272339272406</v>
      </c>
      <c r="Z26" s="72">
        <f t="shared" si="29"/>
        <v>99.219464172702345</v>
      </c>
      <c r="AA26" s="72">
        <f t="shared" si="4"/>
        <v>99.383070301291255</v>
      </c>
      <c r="AB26" s="72">
        <f t="shared" si="5"/>
        <v>99.417462099943847</v>
      </c>
      <c r="AC26" s="72">
        <f t="shared" si="6"/>
        <v>99.570131040698882</v>
      </c>
      <c r="AD26" s="72">
        <f t="shared" si="7"/>
        <v>99.531034482758628</v>
      </c>
      <c r="AE26" s="72">
        <f t="shared" si="8"/>
        <v>99.562610229276899</v>
      </c>
      <c r="AF26" s="72">
        <f t="shared" si="8"/>
        <v>99.638688160088947</v>
      </c>
      <c r="AG26" s="73">
        <v>99.646250953735176</v>
      </c>
      <c r="AH26" s="73">
        <v>99.758275699993277</v>
      </c>
      <c r="AI26" s="27">
        <v>2.4382125322459847</v>
      </c>
      <c r="AJ26" s="27">
        <v>1.5878212473399902</v>
      </c>
      <c r="AK26" s="27">
        <v>1.672761223060764</v>
      </c>
      <c r="AL26" s="27">
        <v>1.9774894481788339</v>
      </c>
      <c r="AM26" s="87">
        <v>2.1531666535215708</v>
      </c>
      <c r="AN26" s="27">
        <v>1.874896299983408</v>
      </c>
      <c r="AO26" s="27">
        <v>1.6291133084778733</v>
      </c>
      <c r="AP26" s="27">
        <v>1.5208303301138821</v>
      </c>
      <c r="AQ26" s="27">
        <v>1.2506713726693777</v>
      </c>
      <c r="AR26" s="27">
        <v>2.0367500553464688</v>
      </c>
      <c r="AS26" s="27">
        <v>2.6419294990723561</v>
      </c>
      <c r="AT26" s="27">
        <v>1.4274631497284715</v>
      </c>
      <c r="AU26" s="27">
        <v>1.0877220439784019</v>
      </c>
      <c r="AV26" s="27">
        <v>1.6567607726597327</v>
      </c>
      <c r="AW26" s="27">
        <v>1.3923654568210262</v>
      </c>
      <c r="AX26" s="27">
        <v>0.79837194740137762</v>
      </c>
      <c r="AY26" s="70">
        <v>0.67103858471862132</v>
      </c>
      <c r="AZ26" s="59">
        <v>0.90678273485672833</v>
      </c>
      <c r="BA26" s="70">
        <v>1.0104876368368674</v>
      </c>
      <c r="BB26" s="70">
        <v>1.0746685275645498</v>
      </c>
      <c r="BC26" s="70">
        <v>0.81972766072759295</v>
      </c>
      <c r="BD26" s="70">
        <v>0.78053582729765836</v>
      </c>
      <c r="BE26" s="70">
        <v>0.61692969870875181</v>
      </c>
      <c r="BF26" s="70">
        <v>0.58253790005614825</v>
      </c>
      <c r="BG26" s="70">
        <v>0.42986895930111624</v>
      </c>
      <c r="BH26" s="59">
        <v>0.46896551724137936</v>
      </c>
      <c r="BI26" s="59">
        <v>0.4373897707231067</v>
      </c>
      <c r="BJ26" s="59">
        <v>0.36131183991106042</v>
      </c>
      <c r="BK26" s="59">
        <v>0.35374904626482623</v>
      </c>
      <c r="BL26" s="59">
        <f t="shared" si="3"/>
        <v>0.24172430000672307</v>
      </c>
      <c r="BM26" s="27">
        <v>2.413247898810019</v>
      </c>
      <c r="BN26" s="27">
        <v>1.5878212473399902</v>
      </c>
      <c r="BO26" s="27">
        <v>1.6338597992686534</v>
      </c>
      <c r="BP26" s="27">
        <v>1.9774894481788339</v>
      </c>
      <c r="BQ26" s="87">
        <v>2.1452795961826645</v>
      </c>
      <c r="BR26" s="27">
        <v>1.8666002986560477</v>
      </c>
      <c r="BS26" s="27">
        <v>1.6047981844707409</v>
      </c>
      <c r="BT26" s="27">
        <v>1.5208303301138821</v>
      </c>
      <c r="BU26" s="27">
        <v>1.2046343896263332</v>
      </c>
      <c r="BV26" s="27">
        <v>1.9703342926721275</v>
      </c>
      <c r="BW26" s="27">
        <v>2.6419294990723561</v>
      </c>
      <c r="BX26" s="27">
        <v>1.3421256788207914</v>
      </c>
      <c r="BY26" s="27">
        <v>0.9781673057359731</v>
      </c>
      <c r="BZ26" s="27">
        <v>1.463595839524517</v>
      </c>
      <c r="CA26" s="27">
        <v>1.3845431789737173</v>
      </c>
      <c r="CB26" s="27">
        <v>0.79054477144646207</v>
      </c>
      <c r="CC26" s="70">
        <f>(79/13114)*100</f>
        <v>0.60240963855421692</v>
      </c>
      <c r="CD26" s="70">
        <f>(77/13785)*100</f>
        <v>0.5585781646717447</v>
      </c>
      <c r="CE26" s="70">
        <f>(101/13063)*100</f>
        <v>0.77317614636760323</v>
      </c>
      <c r="CF26" s="70">
        <f>(126/14330)*100</f>
        <v>0.87927424982554081</v>
      </c>
      <c r="CG26" s="70">
        <f>(109/14761)*100</f>
        <v>0.73843235553146802</v>
      </c>
      <c r="CH26" s="70">
        <v>0.71021728429786934</v>
      </c>
      <c r="CI26" s="70">
        <v>0.58823529411764708</v>
      </c>
      <c r="CJ26" s="70">
        <v>0.53340819764177427</v>
      </c>
      <c r="CK26" s="70">
        <v>0.40906884836719126</v>
      </c>
      <c r="CL26" s="59">
        <v>0.45517241379310347</v>
      </c>
      <c r="CM26" s="59">
        <v>0.38800705467372132</v>
      </c>
      <c r="CN26" s="59">
        <v>0.34046692607003892</v>
      </c>
      <c r="CO26" s="59">
        <v>0.32600402302836928</v>
      </c>
      <c r="CP26" s="59">
        <v>0.32901363056469485</v>
      </c>
      <c r="CQ26" s="59">
        <v>0.16724559372185771</v>
      </c>
      <c r="CR26" s="35">
        <v>2.8653931585961794</v>
      </c>
      <c r="CS26" s="35">
        <v>1.6049282645699925</v>
      </c>
      <c r="CT26" s="35">
        <v>0.61040744697085303</v>
      </c>
      <c r="CU26" s="35">
        <v>0.80628768886780944</v>
      </c>
      <c r="CV26" s="35">
        <v>0.58823529411764708</v>
      </c>
      <c r="CW26" s="11">
        <v>97.4</v>
      </c>
      <c r="CX26" s="35">
        <v>2.568657931749204</v>
      </c>
      <c r="CY26" s="35">
        <v>1.5156427297779218</v>
      </c>
      <c r="CZ26" s="35">
        <v>0.30501753850846425</v>
      </c>
      <c r="DA26" s="35">
        <v>0.43463497453310695</v>
      </c>
      <c r="DB26" s="35">
        <v>0.25138260432378079</v>
      </c>
      <c r="DC26" s="35">
        <v>0.21999999999999886</v>
      </c>
    </row>
    <row r="27" spans="1:107">
      <c r="A27" s="3" t="s">
        <v>841</v>
      </c>
      <c r="B27" s="3" t="s">
        <v>659</v>
      </c>
      <c r="C27" s="3">
        <v>19</v>
      </c>
      <c r="D27" s="3" t="s">
        <v>713</v>
      </c>
      <c r="E27" s="72">
        <f t="shared" si="2"/>
        <v>95.551894563426686</v>
      </c>
      <c r="F27" s="72">
        <f t="shared" si="9"/>
        <v>95.551894563426686</v>
      </c>
      <c r="G27" s="72">
        <f t="shared" si="10"/>
        <v>95.551894563426686</v>
      </c>
      <c r="H27" s="72">
        <f t="shared" si="11"/>
        <v>95.551894563426686</v>
      </c>
      <c r="I27" s="72">
        <f t="shared" si="12"/>
        <v>95.551894563426686</v>
      </c>
      <c r="J27" s="72">
        <f t="shared" si="13"/>
        <v>95.551894563426686</v>
      </c>
      <c r="K27" s="72">
        <f t="shared" si="14"/>
        <v>96.646204521634971</v>
      </c>
      <c r="L27" s="72">
        <f t="shared" si="15"/>
        <v>98.084994753410285</v>
      </c>
      <c r="M27" s="72">
        <f t="shared" si="16"/>
        <v>98.211646467632278</v>
      </c>
      <c r="N27" s="72">
        <f t="shared" si="17"/>
        <v>99.082050557830811</v>
      </c>
      <c r="O27" s="72">
        <f t="shared" si="18"/>
        <v>99.33785032337542</v>
      </c>
      <c r="P27" s="72">
        <f t="shared" si="19"/>
        <v>99.315158698801525</v>
      </c>
      <c r="Q27" s="72">
        <f t="shared" si="20"/>
        <v>99.769230769230774</v>
      </c>
      <c r="R27" s="72">
        <f t="shared" si="21"/>
        <v>99.47176455791724</v>
      </c>
      <c r="S27" s="72">
        <f t="shared" si="22"/>
        <v>99.727838258164851</v>
      </c>
      <c r="T27" s="72">
        <f t="shared" si="23"/>
        <v>99.691833590138671</v>
      </c>
      <c r="U27" s="72">
        <f t="shared" si="24"/>
        <v>99.86224170319349</v>
      </c>
      <c r="V27" s="72">
        <f t="shared" si="25"/>
        <v>99.729995090819827</v>
      </c>
      <c r="W27" s="72">
        <f t="shared" si="26"/>
        <v>99.709829524845844</v>
      </c>
      <c r="X27" s="72">
        <f t="shared" si="27"/>
        <v>99.785305343511453</v>
      </c>
      <c r="Y27" s="72">
        <f t="shared" si="28"/>
        <v>99.837605846189533</v>
      </c>
      <c r="Z27" s="72">
        <f t="shared" si="29"/>
        <v>99.650349650349654</v>
      </c>
      <c r="AA27" s="72">
        <f t="shared" si="4"/>
        <v>99.75935507159187</v>
      </c>
      <c r="AB27" s="72">
        <f t="shared" si="5"/>
        <v>99.764822379007299</v>
      </c>
      <c r="AC27" s="72">
        <f t="shared" si="6"/>
        <v>99.830897451383024</v>
      </c>
      <c r="AD27" s="72">
        <f t="shared" si="7"/>
        <v>99.837153952148313</v>
      </c>
      <c r="AE27" s="72">
        <f t="shared" si="8"/>
        <v>99.810174639331819</v>
      </c>
      <c r="AF27" s="72">
        <f t="shared" si="8"/>
        <v>99.884035562427513</v>
      </c>
      <c r="AG27" s="73">
        <v>99.827974063781923</v>
      </c>
      <c r="AH27" s="73">
        <v>99.803484868334863</v>
      </c>
      <c r="AI27" s="27">
        <v>4.4481054365733117</v>
      </c>
      <c r="AJ27" s="88">
        <v>4.4481054365733117</v>
      </c>
      <c r="AK27" s="88">
        <v>4.4481054365733117</v>
      </c>
      <c r="AL27" s="88">
        <v>4.4481054365733117</v>
      </c>
      <c r="AM27" s="87">
        <v>4.4481054365733117</v>
      </c>
      <c r="AN27" s="88">
        <v>4.4481054365733117</v>
      </c>
      <c r="AO27" s="88">
        <v>3.3537954783650243</v>
      </c>
      <c r="AP27" s="27">
        <v>1.9150052465897165</v>
      </c>
      <c r="AQ27" s="27">
        <v>1.7883535323677209</v>
      </c>
      <c r="AR27" s="27">
        <v>0.91794944216918517</v>
      </c>
      <c r="AS27" s="27">
        <v>0.66214967662457647</v>
      </c>
      <c r="AT27" s="27">
        <v>0.6848413011984722</v>
      </c>
      <c r="AU27" s="27">
        <v>0.23076923076923078</v>
      </c>
      <c r="AV27" s="27">
        <v>0.52823544208275686</v>
      </c>
      <c r="AW27" s="27">
        <v>0.27216174183514774</v>
      </c>
      <c r="AX27" s="27">
        <v>0.30816640986132515</v>
      </c>
      <c r="AY27" s="70">
        <v>0.13775829680651219</v>
      </c>
      <c r="AZ27" s="59">
        <v>0.2700049091801669</v>
      </c>
      <c r="BA27" s="70">
        <v>0.29017047515415306</v>
      </c>
      <c r="BB27" s="70">
        <v>0.21469465648854963</v>
      </c>
      <c r="BC27" s="70">
        <v>0.16239415381046282</v>
      </c>
      <c r="BD27" s="70">
        <v>0.34965034965034963</v>
      </c>
      <c r="BE27" s="70">
        <v>0.24064492840813381</v>
      </c>
      <c r="BF27" s="70">
        <v>0.2351776209926971</v>
      </c>
      <c r="BG27" s="70">
        <v>0.16910254861698273</v>
      </c>
      <c r="BH27" s="59">
        <v>0.16284604785168483</v>
      </c>
      <c r="BI27" s="59">
        <v>0.18982536066818323</v>
      </c>
      <c r="BJ27" s="59">
        <v>0.11596443757247998</v>
      </c>
      <c r="BK27" s="59">
        <v>0.17202593621807596</v>
      </c>
      <c r="BL27" s="59">
        <f t="shared" si="3"/>
        <v>0.19651513166513723</v>
      </c>
      <c r="BM27" s="27">
        <v>3.9721764598206115</v>
      </c>
      <c r="BN27" s="88">
        <v>3.9721764598206115</v>
      </c>
      <c r="BO27" s="88">
        <v>3.9721764598206115</v>
      </c>
      <c r="BP27" s="88">
        <v>3.9721764598206115</v>
      </c>
      <c r="BQ27" s="87">
        <v>3.9721764598206115</v>
      </c>
      <c r="BR27" s="88">
        <v>3.9721764598206115</v>
      </c>
      <c r="BS27" s="88">
        <v>2.3057343913759545</v>
      </c>
      <c r="BT27" s="27">
        <v>1.4165792235047219</v>
      </c>
      <c r="BU27" s="27">
        <v>1.6701152822938221</v>
      </c>
      <c r="BV27" s="27">
        <v>0.80497104928682395</v>
      </c>
      <c r="BW27" s="27">
        <v>0.49276255004619651</v>
      </c>
      <c r="BX27" s="27">
        <v>0.55314105096799682</v>
      </c>
      <c r="BY27" s="27">
        <v>0.19230769230769232</v>
      </c>
      <c r="BZ27" s="27">
        <v>0.41504213306502324</v>
      </c>
      <c r="CA27" s="27">
        <v>0.23328149300155523</v>
      </c>
      <c r="CB27" s="27">
        <v>0.26964560862865949</v>
      </c>
      <c r="CC27" s="70">
        <f>(10/7985)*100</f>
        <v>0.12523481527864747</v>
      </c>
      <c r="CD27" s="70">
        <f>(21/8148)*100</f>
        <v>0.25773195876288657</v>
      </c>
      <c r="CE27" s="70">
        <f>(20/8271)*100</f>
        <v>0.24180872929512753</v>
      </c>
      <c r="CF27" s="70">
        <f>(15/8384)*100</f>
        <v>0.17891221374045801</v>
      </c>
      <c r="CG27" s="70">
        <f>(13/8621)*100</f>
        <v>0.15079457139542976</v>
      </c>
      <c r="CH27" s="70">
        <v>0.2247752247752248</v>
      </c>
      <c r="CI27" s="70">
        <v>0.12032246420406691</v>
      </c>
      <c r="CJ27" s="70">
        <v>0.11139992573338284</v>
      </c>
      <c r="CK27" s="70">
        <v>0.14494504167169947</v>
      </c>
      <c r="CL27" s="59">
        <v>0.10021295252411375</v>
      </c>
      <c r="CM27" s="59">
        <v>0.13920526449000253</v>
      </c>
      <c r="CN27" s="59">
        <v>9.0194562556371594E-2</v>
      </c>
      <c r="CO27" s="59">
        <v>0.1323276432446738</v>
      </c>
      <c r="CP27" s="59">
        <v>9.1707061443731169E-2</v>
      </c>
      <c r="CQ27" s="59">
        <v>0.19118021921998468</v>
      </c>
      <c r="CR27" s="35">
        <v>5.8145718844176564</v>
      </c>
      <c r="CS27" s="35">
        <v>2.3280423280423279</v>
      </c>
      <c r="CT27" s="35">
        <v>0.13775829680651219</v>
      </c>
      <c r="CU27" s="35">
        <v>0.16239415381046282</v>
      </c>
      <c r="CV27" s="35">
        <v>0.12032246420406691</v>
      </c>
      <c r="CW27" s="11">
        <v>99.3</v>
      </c>
      <c r="CX27" s="35">
        <v>3.5758323057953145</v>
      </c>
      <c r="CY27" s="35">
        <v>1.0652663165791447</v>
      </c>
      <c r="CZ27" s="35">
        <v>5.0100200400801598E-2</v>
      </c>
      <c r="DA27" s="35">
        <v>0.68644275557734746</v>
      </c>
      <c r="DB27" s="35">
        <v>8.422572494284683E-2</v>
      </c>
      <c r="DC27" s="35">
        <v>0.31999999999999318</v>
      </c>
    </row>
    <row r="28" spans="1:107">
      <c r="A28" s="3" t="s">
        <v>660</v>
      </c>
      <c r="B28" s="3" t="s">
        <v>661</v>
      </c>
      <c r="C28" s="3">
        <v>20</v>
      </c>
      <c r="D28" s="3" t="s">
        <v>541</v>
      </c>
      <c r="E28" s="72">
        <f t="shared" si="2"/>
        <v>99.177771477176066</v>
      </c>
      <c r="F28" s="72">
        <f t="shared" si="9"/>
        <v>98.957746478873233</v>
      </c>
      <c r="G28" s="72">
        <f t="shared" si="10"/>
        <v>99.658344283837053</v>
      </c>
      <c r="H28" s="72">
        <f t="shared" si="11"/>
        <v>99.796799593599189</v>
      </c>
      <c r="I28" s="72">
        <f t="shared" si="12"/>
        <v>99.427718337895001</v>
      </c>
      <c r="J28" s="72">
        <f t="shared" si="13"/>
        <v>99.68884633796074</v>
      </c>
      <c r="K28" s="72">
        <f t="shared" si="14"/>
        <v>99.616398945097103</v>
      </c>
      <c r="L28" s="72">
        <f t="shared" si="15"/>
        <v>99.665151877541263</v>
      </c>
      <c r="M28" s="72">
        <f t="shared" si="16"/>
        <v>99.641577060931894</v>
      </c>
      <c r="N28" s="72">
        <f t="shared" si="17"/>
        <v>99.846782431052091</v>
      </c>
      <c r="O28" s="72">
        <f t="shared" si="18"/>
        <v>99.902272172000977</v>
      </c>
      <c r="P28" s="72">
        <f t="shared" si="19"/>
        <v>99.661263005081054</v>
      </c>
      <c r="Q28" s="72">
        <f t="shared" si="20"/>
        <v>99.705014749262531</v>
      </c>
      <c r="R28" s="72">
        <f t="shared" si="21"/>
        <v>99.656278643446385</v>
      </c>
      <c r="S28" s="72">
        <f t="shared" si="22"/>
        <v>99.805825242718441</v>
      </c>
      <c r="T28" s="72">
        <f t="shared" si="23"/>
        <v>99.925410243659869</v>
      </c>
      <c r="U28" s="72">
        <f t="shared" si="24"/>
        <v>99.87434028650415</v>
      </c>
      <c r="V28" s="72">
        <f t="shared" si="25"/>
        <v>100</v>
      </c>
      <c r="W28" s="72">
        <f t="shared" si="26"/>
        <v>99.85405010946242</v>
      </c>
      <c r="X28" s="72">
        <f t="shared" si="27"/>
        <v>99.954689623923883</v>
      </c>
      <c r="Y28" s="72">
        <f t="shared" si="28"/>
        <v>99.934909958776302</v>
      </c>
      <c r="Z28" s="72">
        <f t="shared" si="29"/>
        <v>99.895046179680946</v>
      </c>
      <c r="AA28" s="72">
        <f t="shared" si="4"/>
        <v>100</v>
      </c>
      <c r="AB28" s="72">
        <f t="shared" si="5"/>
        <v>99.941474834178692</v>
      </c>
      <c r="AC28" s="72">
        <f t="shared" si="6"/>
        <v>99.509981851179674</v>
      </c>
      <c r="AD28" s="72">
        <f t="shared" si="7"/>
        <v>99.947005829358773</v>
      </c>
      <c r="AE28" s="72">
        <f t="shared" si="8"/>
        <v>99.88306047444037</v>
      </c>
      <c r="AF28" s="72">
        <f t="shared" si="8"/>
        <v>99.915182357930448</v>
      </c>
      <c r="AG28" s="73">
        <v>99.930349991293753</v>
      </c>
      <c r="AH28" s="73">
        <v>99.965600275197801</v>
      </c>
      <c r="AI28" s="27">
        <v>0.82222852282392966</v>
      </c>
      <c r="AJ28" s="27">
        <v>1.0422535211267605</v>
      </c>
      <c r="AK28" s="27">
        <v>0.34165571616294349</v>
      </c>
      <c r="AL28" s="27">
        <v>0.20320040640081277</v>
      </c>
      <c r="AM28" s="87">
        <v>0.5722816621050012</v>
      </c>
      <c r="AN28" s="27">
        <v>0.31115366203925321</v>
      </c>
      <c r="AO28" s="27">
        <v>0.38360105490290097</v>
      </c>
      <c r="AP28" s="88">
        <v>0.33484812245874196</v>
      </c>
      <c r="AQ28" s="88">
        <v>0.35842293906810035</v>
      </c>
      <c r="AR28" s="27">
        <v>0.15321756894790603</v>
      </c>
      <c r="AS28" s="27">
        <v>9.7727827999022729E-2</v>
      </c>
      <c r="AT28" s="27">
        <v>0.3387369949189451</v>
      </c>
      <c r="AU28" s="27">
        <v>0.29498525073746312</v>
      </c>
      <c r="AV28" s="27">
        <v>0.34372135655362052</v>
      </c>
      <c r="AW28" s="27">
        <v>0.1941747572815534</v>
      </c>
      <c r="AX28" s="27">
        <v>7.4589756340129293E-2</v>
      </c>
      <c r="AY28" s="70">
        <v>0.12565971349585323</v>
      </c>
      <c r="AZ28" s="59">
        <v>0</v>
      </c>
      <c r="BA28" s="70">
        <v>0.14594989053758209</v>
      </c>
      <c r="BB28" s="70">
        <v>4.5310376076121435E-2</v>
      </c>
      <c r="BC28" s="70">
        <v>6.5090041223692774E-2</v>
      </c>
      <c r="BD28" s="70">
        <v>0.10495382031905962</v>
      </c>
      <c r="BE28" s="70">
        <v>0</v>
      </c>
      <c r="BF28" s="70">
        <v>5.8525165821303154E-2</v>
      </c>
      <c r="BG28" s="70">
        <v>0.49001814882032668</v>
      </c>
      <c r="BH28" s="59">
        <v>5.2994170641229466E-2</v>
      </c>
      <c r="BI28" s="59">
        <v>0.11693952555963394</v>
      </c>
      <c r="BJ28" s="59">
        <v>8.4817642069545673E-2</v>
      </c>
      <c r="BK28" s="59">
        <v>6.9650008706251099E-2</v>
      </c>
      <c r="BL28" s="59">
        <f t="shared" si="3"/>
        <v>3.4399724802199216E-2</v>
      </c>
      <c r="BM28" s="27">
        <v>0.51034873830450811</v>
      </c>
      <c r="BN28" s="27">
        <v>0.45070422535211269</v>
      </c>
      <c r="BO28" s="27">
        <v>0.23653088042049933</v>
      </c>
      <c r="BP28" s="27">
        <v>0.10160020320040639</v>
      </c>
      <c r="BQ28" s="87">
        <v>0.37322717093804431</v>
      </c>
      <c r="BR28" s="27">
        <v>0.19147917663954045</v>
      </c>
      <c r="BS28" s="27">
        <v>0.2157755933828818</v>
      </c>
      <c r="BT28" s="88">
        <v>0.19134178426213824</v>
      </c>
      <c r="BU28" s="88">
        <v>0.19115890083632017</v>
      </c>
      <c r="BV28" s="27">
        <v>7.6608784473953015E-2</v>
      </c>
      <c r="BW28" s="27">
        <v>9.7727827999022729E-2</v>
      </c>
      <c r="BX28" s="27">
        <v>7.2586498911202516E-2</v>
      </c>
      <c r="BY28" s="27">
        <v>0.17207472959685349</v>
      </c>
      <c r="BZ28" s="27">
        <v>0.27497708524289644</v>
      </c>
      <c r="CA28" s="27">
        <v>0.16990291262135923</v>
      </c>
      <c r="CB28" s="27">
        <v>4.9726504226752857E-2</v>
      </c>
      <c r="CC28" s="70">
        <f>(5/3979)*100</f>
        <v>0.12565971349585323</v>
      </c>
      <c r="CD28" s="70">
        <f>(0/4117)*100</f>
        <v>0</v>
      </c>
      <c r="CE28" s="70">
        <f>(4/4111)*100</f>
        <v>9.729992702505473E-2</v>
      </c>
      <c r="CF28" s="70">
        <f>(1/4414)*100</f>
        <v>2.2655188038060717E-2</v>
      </c>
      <c r="CG28" s="70">
        <f>(2/4609)*100</f>
        <v>4.3393360815795187E-2</v>
      </c>
      <c r="CH28" s="70">
        <v>6.2972292191435769E-2</v>
      </c>
      <c r="CI28" s="70">
        <v>0</v>
      </c>
      <c r="CJ28" s="70">
        <v>3.901677721420211E-2</v>
      </c>
      <c r="CK28" s="70">
        <v>1.8148820326678763E-2</v>
      </c>
      <c r="CL28" s="59">
        <v>5.2994170641229466E-2</v>
      </c>
      <c r="CM28" s="59">
        <v>0</v>
      </c>
      <c r="CN28" s="59">
        <v>3.3927056827820185E-2</v>
      </c>
      <c r="CO28" s="59">
        <v>1.7412502176562775E-2</v>
      </c>
      <c r="CP28" s="59">
        <v>3.4399724802201583E-2</v>
      </c>
      <c r="CQ28" s="59">
        <v>5.0209205020920508E-2</v>
      </c>
      <c r="CR28" s="35">
        <v>0.31735956839098695</v>
      </c>
      <c r="CS28" s="35">
        <v>0.21598272138228944</v>
      </c>
      <c r="CT28" s="35">
        <v>0.12565971349585323</v>
      </c>
      <c r="CU28" s="35">
        <v>4.3402777777777776E-2</v>
      </c>
      <c r="CV28" s="35" t="s">
        <v>405</v>
      </c>
      <c r="CW28" s="11">
        <v>99.9</v>
      </c>
      <c r="CX28" s="35">
        <v>0.19011406844106463</v>
      </c>
      <c r="CY28" s="35">
        <v>0.11987532965715655</v>
      </c>
      <c r="CZ28" s="35">
        <v>2.5138260432378077E-2</v>
      </c>
      <c r="DA28" s="35" t="s">
        <v>406</v>
      </c>
      <c r="DB28" s="35" t="s">
        <v>405</v>
      </c>
      <c r="DC28" s="35">
        <v>0</v>
      </c>
    </row>
    <row r="29" spans="1:107">
      <c r="A29" s="3" t="s">
        <v>80</v>
      </c>
      <c r="B29" s="3" t="s">
        <v>747</v>
      </c>
      <c r="C29" s="3">
        <v>21</v>
      </c>
      <c r="D29" s="3" t="s">
        <v>759</v>
      </c>
      <c r="E29" s="72">
        <f t="shared" si="2"/>
        <v>94.23473576706651</v>
      </c>
      <c r="F29" s="72">
        <f t="shared" si="9"/>
        <v>94.23473576706651</v>
      </c>
      <c r="G29" s="72">
        <f t="shared" si="10"/>
        <v>94.23473576706651</v>
      </c>
      <c r="H29" s="72">
        <f t="shared" si="11"/>
        <v>94.330759460494747</v>
      </c>
      <c r="I29" s="72">
        <f t="shared" si="12"/>
        <v>98.16968307263943</v>
      </c>
      <c r="J29" s="72">
        <f t="shared" si="13"/>
        <v>98.30397912589693</v>
      </c>
      <c r="K29" s="72">
        <f t="shared" si="14"/>
        <v>98.197565543071164</v>
      </c>
      <c r="L29" s="72">
        <f t="shared" si="15"/>
        <v>98.013953251514991</v>
      </c>
      <c r="M29" s="72">
        <f t="shared" si="16"/>
        <v>96.845990790146914</v>
      </c>
      <c r="N29" s="72">
        <f t="shared" si="17"/>
        <v>96.571879639897006</v>
      </c>
      <c r="O29" s="72">
        <f t="shared" si="18"/>
        <v>96.687319911862744</v>
      </c>
      <c r="P29" s="72">
        <f t="shared" si="19"/>
        <v>96.635022088542158</v>
      </c>
      <c r="Q29" s="72">
        <f t="shared" si="20"/>
        <v>97.148568832348928</v>
      </c>
      <c r="R29" s="72">
        <f t="shared" si="21"/>
        <v>98.062995096190122</v>
      </c>
      <c r="S29" s="72">
        <f t="shared" si="22"/>
        <v>98.415466262319939</v>
      </c>
      <c r="T29" s="72">
        <f t="shared" si="23"/>
        <v>98.579432905088012</v>
      </c>
      <c r="U29" s="72">
        <f t="shared" si="24"/>
        <v>99.066656445245115</v>
      </c>
      <c r="V29" s="72">
        <f t="shared" si="25"/>
        <v>99.559953805105337</v>
      </c>
      <c r="W29" s="72">
        <f t="shared" si="26"/>
        <v>99.443168771526985</v>
      </c>
      <c r="X29" s="72">
        <f t="shared" si="27"/>
        <v>99.584122386840448</v>
      </c>
      <c r="Y29" s="72">
        <f t="shared" si="28"/>
        <v>99.513496832283479</v>
      </c>
      <c r="Z29" s="72">
        <f t="shared" si="29"/>
        <v>99.417622736008383</v>
      </c>
      <c r="AA29" s="72">
        <f t="shared" si="4"/>
        <v>99.527483701178298</v>
      </c>
      <c r="AB29" s="72">
        <f t="shared" si="5"/>
        <v>99.439230034998403</v>
      </c>
      <c r="AC29" s="72">
        <f t="shared" si="6"/>
        <v>99.51322556943424</v>
      </c>
      <c r="AD29" s="72">
        <f t="shared" si="7"/>
        <v>99.588347055098168</v>
      </c>
      <c r="AE29" s="72">
        <f t="shared" si="8"/>
        <v>99.73999738126858</v>
      </c>
      <c r="AF29" s="72">
        <f t="shared" si="8"/>
        <v>98.106785398881371</v>
      </c>
      <c r="AG29" s="73">
        <v>99.493684971902297</v>
      </c>
      <c r="AH29" s="73">
        <v>99.797560066059347</v>
      </c>
      <c r="AI29" s="88">
        <v>5.7652642329334958</v>
      </c>
      <c r="AJ29" s="88">
        <v>5.7652642329334958</v>
      </c>
      <c r="AK29" s="88">
        <v>5.7652642329334958</v>
      </c>
      <c r="AL29" s="27">
        <v>5.6692405395052523</v>
      </c>
      <c r="AM29" s="87">
        <v>1.8303169273605764</v>
      </c>
      <c r="AN29" s="27">
        <v>1.6960208741030658</v>
      </c>
      <c r="AO29" s="27">
        <v>1.8024344569288389</v>
      </c>
      <c r="AP29" s="27">
        <v>1.9860467484850028</v>
      </c>
      <c r="AQ29" s="27">
        <v>3.1540092098530805</v>
      </c>
      <c r="AR29" s="27">
        <v>3.4281203601029939</v>
      </c>
      <c r="AS29" s="27">
        <v>3.3126800881372529</v>
      </c>
      <c r="AT29" s="27">
        <v>3.3649779114578435</v>
      </c>
      <c r="AU29" s="27">
        <v>2.851431167651068</v>
      </c>
      <c r="AV29" s="27">
        <v>1.9370049038098829</v>
      </c>
      <c r="AW29" s="27">
        <v>1.5845337376800606</v>
      </c>
      <c r="AX29" s="27">
        <v>1.4205670949119926</v>
      </c>
      <c r="AY29" s="70">
        <v>0.93334355475487751</v>
      </c>
      <c r="AZ29" s="59">
        <v>0.44004619489466767</v>
      </c>
      <c r="BA29" s="70">
        <v>0.55683122847301947</v>
      </c>
      <c r="BB29" s="70">
        <v>0.41587761315955596</v>
      </c>
      <c r="BC29" s="70">
        <v>0.48650316771652113</v>
      </c>
      <c r="BD29" s="70">
        <v>0.58237726399161382</v>
      </c>
      <c r="BE29" s="70">
        <v>0.47251629882169982</v>
      </c>
      <c r="BF29" s="70">
        <v>0.56076996500159082</v>
      </c>
      <c r="BG29" s="70">
        <v>0.48677443056576047</v>
      </c>
      <c r="BH29" s="59">
        <v>0.41165294490183657</v>
      </c>
      <c r="BI29" s="59">
        <v>0.26000261873141417</v>
      </c>
      <c r="BJ29" s="59">
        <v>1.8932146011186313</v>
      </c>
      <c r="BK29" s="59">
        <v>0.50631502809770212</v>
      </c>
      <c r="BL29" s="59">
        <f t="shared" si="3"/>
        <v>0.20243993394065285</v>
      </c>
      <c r="BM29" s="88">
        <v>2.2248032520976428</v>
      </c>
      <c r="BN29" s="88">
        <v>2.2248032520976428</v>
      </c>
      <c r="BO29" s="27">
        <v>2.2248032520976428</v>
      </c>
      <c r="BP29" s="27">
        <v>2.2156811354609784</v>
      </c>
      <c r="BQ29" s="87">
        <v>1.2980099909917286</v>
      </c>
      <c r="BR29" s="27">
        <v>0.98747103943136061</v>
      </c>
      <c r="BS29" s="27">
        <v>0.99804221995233222</v>
      </c>
      <c r="BT29" s="27">
        <v>0.88947734718473637</v>
      </c>
      <c r="BU29" s="27">
        <v>1.0178349535852642</v>
      </c>
      <c r="BV29" s="27">
        <v>0.8701862536884245</v>
      </c>
      <c r="BW29" s="27">
        <v>0.61959735588240827</v>
      </c>
      <c r="BX29" s="27">
        <v>0.43049158755522132</v>
      </c>
      <c r="BY29" s="27">
        <v>0.46887778282598813</v>
      </c>
      <c r="BZ29" s="27">
        <v>0.38476046774801964</v>
      </c>
      <c r="CA29" s="27">
        <v>0.29567854435178165</v>
      </c>
      <c r="CB29" s="27">
        <v>0.3942875469277643</v>
      </c>
      <c r="CC29" s="70">
        <f>(135/52178)*100</f>
        <v>0.25872973283759437</v>
      </c>
      <c r="CD29" s="70">
        <f>(141/50122)*100</f>
        <v>0.28131359482861817</v>
      </c>
      <c r="CE29" s="70">
        <f>(156/52260)*100</f>
        <v>0.29850746268656719</v>
      </c>
      <c r="CF29" s="70">
        <f>(106/53862)*100</f>
        <v>0.19679922765586128</v>
      </c>
      <c r="CG29" s="70">
        <f>(135/55087)*100</f>
        <v>0.24506689418556099</v>
      </c>
      <c r="CH29" s="70">
        <v>0.16112437637101315</v>
      </c>
      <c r="CI29" s="70">
        <v>0.17345535020037084</v>
      </c>
      <c r="CJ29" s="70">
        <v>0.24459115494750239</v>
      </c>
      <c r="CK29" s="70">
        <v>0.13041880969875091</v>
      </c>
      <c r="CL29" s="59">
        <v>0.20489513094661552</v>
      </c>
      <c r="CM29" s="59">
        <v>0.15525336226408035</v>
      </c>
      <c r="CN29" s="59">
        <v>0.21526346776567559</v>
      </c>
      <c r="CO29" s="59">
        <v>0.24295702813479478</v>
      </c>
      <c r="CP29" s="59">
        <v>0.20776730062330187</v>
      </c>
      <c r="CQ29" s="59">
        <v>0.13355303096002083</v>
      </c>
      <c r="CR29" s="35">
        <v>2.6793587174348694</v>
      </c>
      <c r="CS29" s="35">
        <v>1.0059412736203162</v>
      </c>
      <c r="CT29" s="35">
        <v>0.30857649804246784</v>
      </c>
      <c r="CU29" s="35">
        <v>0.33452720760685778</v>
      </c>
      <c r="CV29" s="35">
        <v>0.17354877318970677</v>
      </c>
      <c r="CW29" s="11">
        <v>96.7</v>
      </c>
      <c r="CX29" s="35">
        <v>1.1992924757517445</v>
      </c>
      <c r="CY29" s="35">
        <v>0.35334936886694052</v>
      </c>
      <c r="CZ29" s="35">
        <v>5.3666577222371302E-2</v>
      </c>
      <c r="DA29" s="35">
        <v>0.11807018818571532</v>
      </c>
      <c r="DB29" s="35">
        <v>5.3839558116811903E-2</v>
      </c>
      <c r="DC29" s="35">
        <v>0.12000000000000455</v>
      </c>
    </row>
    <row r="30" spans="1:107">
      <c r="A30" s="3" t="s">
        <v>721</v>
      </c>
      <c r="B30" s="3" t="s">
        <v>722</v>
      </c>
      <c r="C30" s="3">
        <v>22</v>
      </c>
      <c r="D30" s="3" t="s">
        <v>664</v>
      </c>
      <c r="E30" s="72">
        <f t="shared" si="2"/>
        <v>69.291761058781447</v>
      </c>
      <c r="F30" s="72">
        <f t="shared" si="9"/>
        <v>72.556932833669649</v>
      </c>
      <c r="G30" s="72">
        <f t="shared" si="10"/>
        <v>72.556932833669649</v>
      </c>
      <c r="H30" s="72">
        <f t="shared" si="11"/>
        <v>72.556932833669649</v>
      </c>
      <c r="I30" s="72">
        <f t="shared" si="12"/>
        <v>72.556932833669649</v>
      </c>
      <c r="J30" s="72">
        <f t="shared" si="13"/>
        <v>72.556932833669649</v>
      </c>
      <c r="K30" s="72">
        <f t="shared" si="14"/>
        <v>72.207116680458682</v>
      </c>
      <c r="L30" s="72">
        <f t="shared" si="15"/>
        <v>72.568261848409634</v>
      </c>
      <c r="M30" s="72">
        <f t="shared" si="16"/>
        <v>72.621582733812943</v>
      </c>
      <c r="N30" s="72">
        <f t="shared" si="17"/>
        <v>72.680826636050512</v>
      </c>
      <c r="O30" s="72">
        <f t="shared" si="18"/>
        <v>72.686061858036382</v>
      </c>
      <c r="P30" s="72">
        <f t="shared" si="19"/>
        <v>89.270354982141555</v>
      </c>
      <c r="Q30" s="72">
        <f t="shared" si="20"/>
        <v>92.157780769005683</v>
      </c>
      <c r="R30" s="72">
        <f t="shared" si="21"/>
        <v>88.156916212196336</v>
      </c>
      <c r="S30" s="72">
        <f t="shared" si="22"/>
        <v>88.521041573820582</v>
      </c>
      <c r="T30" s="72">
        <f t="shared" si="23"/>
        <v>92.357975604825128</v>
      </c>
      <c r="U30" s="72">
        <f t="shared" si="24"/>
        <v>92.391728443230591</v>
      </c>
      <c r="V30" s="72">
        <f t="shared" si="25"/>
        <v>93.905013192612131</v>
      </c>
      <c r="W30" s="72">
        <f t="shared" si="26"/>
        <v>93.275311502097551</v>
      </c>
      <c r="X30" s="72">
        <f t="shared" si="27"/>
        <v>94.770194986072426</v>
      </c>
      <c r="Y30" s="72">
        <f t="shared" si="28"/>
        <v>96.140981169474728</v>
      </c>
      <c r="Z30" s="72">
        <f t="shared" si="29"/>
        <v>95.643895684283407</v>
      </c>
      <c r="AA30" s="72">
        <f t="shared" si="4"/>
        <v>96.145546097590213</v>
      </c>
      <c r="AB30" s="72">
        <f t="shared" si="5"/>
        <v>96.614091711832415</v>
      </c>
      <c r="AC30" s="72">
        <f t="shared" si="6"/>
        <v>97.222061796130518</v>
      </c>
      <c r="AD30" s="72">
        <f t="shared" si="7"/>
        <v>97.475047207984886</v>
      </c>
      <c r="AE30" s="72">
        <f t="shared" si="8"/>
        <v>98.384424192212094</v>
      </c>
      <c r="AF30" s="72">
        <f t="shared" si="8"/>
        <v>98.873678738520184</v>
      </c>
      <c r="AG30" s="73">
        <v>99.289543370147896</v>
      </c>
      <c r="AH30" s="73">
        <v>99.29959193617151</v>
      </c>
      <c r="AI30" s="88">
        <v>30.708238941218553</v>
      </c>
      <c r="AJ30" s="27">
        <v>27.443067166330355</v>
      </c>
      <c r="AK30" s="88">
        <v>27.443067166330355</v>
      </c>
      <c r="AL30" s="88">
        <v>27.443067166330355</v>
      </c>
      <c r="AM30" s="89">
        <v>27.443067166330355</v>
      </c>
      <c r="AN30" s="88">
        <v>27.443067166330355</v>
      </c>
      <c r="AO30" s="88">
        <v>27.792883319541318</v>
      </c>
      <c r="AP30" s="88">
        <v>27.431738151590373</v>
      </c>
      <c r="AQ30" s="88">
        <v>27.37841726618705</v>
      </c>
      <c r="AR30" s="88">
        <v>27.319173363949485</v>
      </c>
      <c r="AS30" s="88">
        <v>27.313938141963618</v>
      </c>
      <c r="AT30" s="27">
        <v>10.729645017858443</v>
      </c>
      <c r="AU30" s="27">
        <v>7.8422192309943224</v>
      </c>
      <c r="AV30" s="27">
        <v>11.843083787803668</v>
      </c>
      <c r="AW30" s="27">
        <v>11.47895842617941</v>
      </c>
      <c r="AX30" s="27">
        <v>7.6420243951748779</v>
      </c>
      <c r="AY30" s="70">
        <v>7.6082715567694112</v>
      </c>
      <c r="AZ30" s="59">
        <v>6.0949868073878628</v>
      </c>
      <c r="BA30" s="70">
        <v>6.7246884979024477</v>
      </c>
      <c r="BB30" s="70">
        <v>5.2298050139275762</v>
      </c>
      <c r="BC30" s="70">
        <v>3.8590188305252724</v>
      </c>
      <c r="BD30" s="70">
        <v>4.3561043157165935</v>
      </c>
      <c r="BE30" s="70">
        <v>3.8544539024097833</v>
      </c>
      <c r="BF30" s="70">
        <v>3.3859082881675904</v>
      </c>
      <c r="BG30" s="70">
        <v>2.7779382038694775</v>
      </c>
      <c r="BH30" s="59">
        <v>2.5249527920151067</v>
      </c>
      <c r="BI30" s="59">
        <v>1.6155758077879057</v>
      </c>
      <c r="BJ30" s="59">
        <v>1.1263212614798124</v>
      </c>
      <c r="BK30" s="59">
        <v>0.7104566298520959</v>
      </c>
      <c r="BL30" s="59">
        <f t="shared" si="3"/>
        <v>0.70040806382849041</v>
      </c>
      <c r="BM30" s="88">
        <v>30.3147728627638</v>
      </c>
      <c r="BN30" s="27">
        <v>26.883828192562696</v>
      </c>
      <c r="BO30" s="88">
        <v>26.883828192562696</v>
      </c>
      <c r="BP30" s="88">
        <v>26.883828192562696</v>
      </c>
      <c r="BQ30" s="89">
        <v>26.883828192562696</v>
      </c>
      <c r="BR30" s="88">
        <v>26.883828192562696</v>
      </c>
      <c r="BS30" s="88">
        <v>27.225440359380542</v>
      </c>
      <c r="BT30" s="88">
        <v>26.889106967615312</v>
      </c>
      <c r="BU30" s="88">
        <v>26.825899280575538</v>
      </c>
      <c r="BV30" s="88">
        <v>26.768082663605053</v>
      </c>
      <c r="BW30" s="88">
        <v>26.768807023584095</v>
      </c>
      <c r="BX30" s="27">
        <v>8.4335592973248765</v>
      </c>
      <c r="BY30" s="27">
        <v>6.9409492596710951</v>
      </c>
      <c r="BZ30" s="27">
        <v>9.0542885473475465</v>
      </c>
      <c r="CA30" s="27">
        <v>9.9700770357165602</v>
      </c>
      <c r="CB30" s="27">
        <v>7.0489925197115708</v>
      </c>
      <c r="CC30" s="70">
        <f>(967/15378)*100</f>
        <v>6.2882039276889063</v>
      </c>
      <c r="CD30" s="70">
        <f>(895/15160)*100</f>
        <v>5.9036939313984167</v>
      </c>
      <c r="CE30" s="70">
        <f>(1033/15971)*100</f>
        <v>6.4679732014275872</v>
      </c>
      <c r="CF30" s="70">
        <f>(730/14360)*100</f>
        <v>5.0835654596100284</v>
      </c>
      <c r="CG30" s="70">
        <f>(588/16144)*100</f>
        <v>3.6422200198216057</v>
      </c>
      <c r="CH30" s="70">
        <v>4.1945534271867073</v>
      </c>
      <c r="CI30" s="70">
        <v>3.6566358949766218</v>
      </c>
      <c r="CJ30" s="70">
        <v>3.2153949211375674</v>
      </c>
      <c r="CK30" s="70">
        <v>2.5469246318221197</v>
      </c>
      <c r="CL30" s="59">
        <v>2.3954680334502294</v>
      </c>
      <c r="CM30" s="59">
        <v>1.4617114451414368</v>
      </c>
      <c r="CN30" s="59">
        <v>1.033905157973777</v>
      </c>
      <c r="CO30" s="59">
        <v>0.58774139378673385</v>
      </c>
      <c r="CP30" s="59">
        <v>0.91966624033132349</v>
      </c>
      <c r="CQ30" s="59">
        <v>0.42475031569280225</v>
      </c>
      <c r="CR30" s="35">
        <v>36.537779354380987</v>
      </c>
      <c r="CS30" s="35">
        <v>27.332067410396395</v>
      </c>
      <c r="CT30" s="35">
        <v>6.5140150019739442</v>
      </c>
      <c r="CU30" s="35">
        <v>3.8471069260314703</v>
      </c>
      <c r="CV30" s="35">
        <v>3.6572936027339771</v>
      </c>
      <c r="CW30" s="11">
        <v>72.7</v>
      </c>
      <c r="CX30" s="35">
        <v>31.581125827814571</v>
      </c>
      <c r="CY30" s="35">
        <v>23.601160518680796</v>
      </c>
      <c r="CZ30" s="35">
        <v>4.7653194263363758</v>
      </c>
      <c r="DA30" s="35">
        <v>3.3089602181187261</v>
      </c>
      <c r="DB30" s="35">
        <v>2.8755338988148949</v>
      </c>
      <c r="DC30" s="35">
        <v>2.7900000000000063</v>
      </c>
    </row>
    <row r="31" spans="1:107">
      <c r="A31" s="3" t="s">
        <v>723</v>
      </c>
      <c r="B31" s="3" t="s">
        <v>724</v>
      </c>
      <c r="C31" s="3">
        <v>23</v>
      </c>
      <c r="D31" s="3" t="s">
        <v>541</v>
      </c>
      <c r="E31" s="72">
        <f t="shared" si="2"/>
        <v>100</v>
      </c>
      <c r="F31" s="72">
        <f t="shared" si="9"/>
        <v>100</v>
      </c>
      <c r="G31" s="72">
        <f t="shared" si="10"/>
        <v>100</v>
      </c>
      <c r="H31" s="72">
        <f t="shared" si="11"/>
        <v>100</v>
      </c>
      <c r="I31" s="72">
        <f t="shared" si="12"/>
        <v>100</v>
      </c>
      <c r="J31" s="72">
        <f t="shared" si="13"/>
        <v>100</v>
      </c>
      <c r="K31" s="72">
        <f t="shared" si="14"/>
        <v>99.930118798043324</v>
      </c>
      <c r="L31" s="72">
        <f t="shared" si="13"/>
        <v>100</v>
      </c>
      <c r="M31" s="72">
        <f t="shared" si="16"/>
        <v>99.666348903717832</v>
      </c>
      <c r="N31" s="72">
        <f t="shared" si="17"/>
        <v>99.911699779249446</v>
      </c>
      <c r="O31" s="72">
        <f t="shared" si="18"/>
        <v>99.716713881019828</v>
      </c>
      <c r="P31" s="72">
        <f t="shared" si="19"/>
        <v>99.65782720273738</v>
      </c>
      <c r="Q31" s="72">
        <f t="shared" si="20"/>
        <v>99.553172475424489</v>
      </c>
      <c r="R31" s="72">
        <f t="shared" si="21"/>
        <v>100</v>
      </c>
      <c r="S31" s="72">
        <f t="shared" si="22"/>
        <v>100</v>
      </c>
      <c r="T31" s="72">
        <f t="shared" si="23"/>
        <v>100</v>
      </c>
      <c r="U31" s="72">
        <f t="shared" si="24"/>
        <v>99.911582670203359</v>
      </c>
      <c r="V31" s="72">
        <f t="shared" si="25"/>
        <v>99.768089053803337</v>
      </c>
      <c r="W31" s="72">
        <f t="shared" si="26"/>
        <v>99.908003679852811</v>
      </c>
      <c r="X31" s="72">
        <f t="shared" si="27"/>
        <v>100</v>
      </c>
      <c r="Y31" s="72">
        <f t="shared" si="28"/>
        <v>99.907278627723684</v>
      </c>
      <c r="Z31" s="72">
        <f t="shared" si="29"/>
        <v>99.915397631133672</v>
      </c>
      <c r="AA31" s="72">
        <f t="shared" si="4"/>
        <v>99.915290131300296</v>
      </c>
      <c r="AB31" s="72">
        <f t="shared" si="5"/>
        <v>99.920445505171045</v>
      </c>
      <c r="AC31" s="72">
        <f t="shared" si="6"/>
        <v>99.472339853465087</v>
      </c>
      <c r="AD31" s="72">
        <f t="shared" si="7"/>
        <v>99.961300309597519</v>
      </c>
      <c r="AE31" s="72">
        <f t="shared" si="8"/>
        <v>99.91935483870968</v>
      </c>
      <c r="AF31" s="72">
        <f t="shared" si="8"/>
        <v>99.920666402221343</v>
      </c>
      <c r="AG31" s="73">
        <v>99.962783773725334</v>
      </c>
      <c r="AH31" s="73">
        <v>99.893428063943162</v>
      </c>
      <c r="AI31" s="88">
        <v>0</v>
      </c>
      <c r="AJ31" s="27">
        <v>0</v>
      </c>
      <c r="AK31" s="27">
        <v>0</v>
      </c>
      <c r="AL31" s="27">
        <v>0</v>
      </c>
      <c r="AM31" s="27">
        <v>0</v>
      </c>
      <c r="AN31" s="88">
        <v>0</v>
      </c>
      <c r="AO31" s="88">
        <v>6.9881201956673647E-2</v>
      </c>
      <c r="AP31" s="27">
        <v>0</v>
      </c>
      <c r="AQ31" s="27">
        <v>0.33365109628217349</v>
      </c>
      <c r="AR31" s="27">
        <v>8.8300220750551883E-2</v>
      </c>
      <c r="AS31" s="27">
        <v>0.28328611898016998</v>
      </c>
      <c r="AT31" s="27">
        <v>0.34217279726261762</v>
      </c>
      <c r="AU31" s="27">
        <v>0.44682752457551383</v>
      </c>
      <c r="AV31" s="27">
        <v>0</v>
      </c>
      <c r="AW31" s="27">
        <v>0</v>
      </c>
      <c r="AX31" s="27">
        <v>0</v>
      </c>
      <c r="AY31" s="70">
        <v>8.8417329796640132E-2</v>
      </c>
      <c r="AZ31" s="59">
        <v>0.2319109461966605</v>
      </c>
      <c r="BA31" s="70">
        <v>9.1996320147194111E-2</v>
      </c>
      <c r="BB31" s="70">
        <v>0</v>
      </c>
      <c r="BC31" s="70">
        <v>9.272137227630968E-2</v>
      </c>
      <c r="BD31" s="70">
        <v>8.4602368866328256E-2</v>
      </c>
      <c r="BE31" s="70">
        <v>8.4709868699703511E-2</v>
      </c>
      <c r="BF31" s="70">
        <v>7.9554494828957836E-2</v>
      </c>
      <c r="BG31" s="70">
        <v>0.52766014653491966</v>
      </c>
      <c r="BH31" s="59">
        <v>3.8699690402476783E-2</v>
      </c>
      <c r="BI31" s="59">
        <v>8.064516129032695E-2</v>
      </c>
      <c r="BJ31" s="59">
        <v>7.9333597778663556E-2</v>
      </c>
      <c r="BK31" s="59">
        <v>3.7216226274655755E-2</v>
      </c>
      <c r="BL31" s="59">
        <f t="shared" si="3"/>
        <v>0.10657193605683801</v>
      </c>
      <c r="BM31" s="88">
        <v>0</v>
      </c>
      <c r="BN31" s="27">
        <v>0</v>
      </c>
      <c r="BO31" s="27">
        <v>0</v>
      </c>
      <c r="BP31" s="27">
        <v>0</v>
      </c>
      <c r="BQ31" s="27">
        <v>0</v>
      </c>
      <c r="BR31" s="27">
        <v>0</v>
      </c>
      <c r="BS31" s="27">
        <f>(1/1431)*100</f>
        <v>6.9881201956673647E-2</v>
      </c>
      <c r="BT31" s="27"/>
      <c r="BU31" s="27">
        <v>9.532888465204957E-2</v>
      </c>
      <c r="BV31" s="27">
        <v>8.8300220750551883E-2</v>
      </c>
      <c r="BW31" s="27">
        <v>8.0938891137191424E-2</v>
      </c>
      <c r="BX31" s="27">
        <v>0.29940119760479045</v>
      </c>
      <c r="BY31" s="27">
        <v>4.4682752457551385E-2</v>
      </c>
      <c r="BZ31" s="27">
        <v>0</v>
      </c>
      <c r="CA31" s="27">
        <v>0</v>
      </c>
      <c r="CB31" s="27">
        <v>0</v>
      </c>
      <c r="CC31" s="70">
        <f>(1/2262)*100</f>
        <v>4.4208664898320066E-2</v>
      </c>
      <c r="CD31" s="70">
        <f>(3/2156)*100</f>
        <v>0.13914656771799627</v>
      </c>
      <c r="CE31" s="70">
        <f>(2/2174)*100</f>
        <v>9.1996320147194111E-2</v>
      </c>
      <c r="CF31" s="70">
        <f>(0/2240)*100</f>
        <v>0</v>
      </c>
      <c r="CG31" s="70">
        <f>(1/2157)*100</f>
        <v>4.636068613815484E-2</v>
      </c>
      <c r="CH31" s="70">
        <v>8.4602368866328256E-2</v>
      </c>
      <c r="CI31" s="70">
        <v>4.2354934349851756E-2</v>
      </c>
      <c r="CJ31" s="70">
        <v>7.9554494828957836E-2</v>
      </c>
      <c r="CK31" s="70">
        <v>0.41675068898299383</v>
      </c>
      <c r="CL31" s="59">
        <v>3.8699690402476783E-2</v>
      </c>
      <c r="CM31" s="59">
        <v>8.0645161290322578E-2</v>
      </c>
      <c r="CN31" s="59">
        <v>3.9666798889329634E-2</v>
      </c>
      <c r="CO31" s="59">
        <v>3.7216226274655755E-2</v>
      </c>
      <c r="CP31" s="59">
        <v>3.5523978685612786E-2</v>
      </c>
      <c r="CQ31" s="59">
        <v>3.3647375504710635E-2</v>
      </c>
      <c r="CR31" s="35"/>
      <c r="CS31" s="35">
        <v>6.9881201956673647E-2</v>
      </c>
      <c r="CT31" s="35">
        <v>4.4228217602830605E-2</v>
      </c>
      <c r="CU31" s="35">
        <v>9.272137227630968E-2</v>
      </c>
      <c r="CV31" s="35">
        <v>4.2354934349851756E-2</v>
      </c>
      <c r="CW31" s="11">
        <v>99.7</v>
      </c>
      <c r="CX31" s="35">
        <v>0.14245014245014245</v>
      </c>
      <c r="CY31" s="35">
        <v>6.9881201956673647E-2</v>
      </c>
      <c r="CZ31" s="35" t="s">
        <v>406</v>
      </c>
      <c r="DA31" s="35"/>
      <c r="DB31" s="35" t="s">
        <v>405</v>
      </c>
      <c r="DC31" s="35">
        <v>4.0000000000006253E-2</v>
      </c>
    </row>
    <row r="32" spans="1:107">
      <c r="A32" s="3" t="s">
        <v>725</v>
      </c>
      <c r="B32" s="3" t="s">
        <v>726</v>
      </c>
      <c r="C32" s="3">
        <v>24</v>
      </c>
      <c r="D32" s="3" t="s">
        <v>664</v>
      </c>
      <c r="E32" s="72">
        <f t="shared" si="2"/>
        <v>85.326887487253089</v>
      </c>
      <c r="F32" s="72">
        <f t="shared" si="9"/>
        <v>85.326887487253089</v>
      </c>
      <c r="G32" s="72">
        <f t="shared" si="10"/>
        <v>85.326887487253089</v>
      </c>
      <c r="H32" s="72">
        <f t="shared" si="11"/>
        <v>90.424057157075325</v>
      </c>
      <c r="I32" s="72">
        <f t="shared" si="12"/>
        <v>90.424057157075325</v>
      </c>
      <c r="J32" s="72">
        <f t="shared" si="13"/>
        <v>90.424057157075325</v>
      </c>
      <c r="K32" s="72">
        <f t="shared" si="14"/>
        <v>90.474166932256807</v>
      </c>
      <c r="L32" s="72">
        <f t="shared" si="15"/>
        <v>90.424057157075325</v>
      </c>
      <c r="M32" s="72">
        <f t="shared" si="16"/>
        <v>90.431233362910376</v>
      </c>
      <c r="N32" s="72">
        <f t="shared" si="17"/>
        <v>92.85870356882738</v>
      </c>
      <c r="O32" s="72">
        <f t="shared" si="18"/>
        <v>93.484843087664302</v>
      </c>
      <c r="P32" s="72">
        <f t="shared" si="19"/>
        <v>93.119033703487233</v>
      </c>
      <c r="Q32" s="72">
        <f t="shared" si="20"/>
        <v>94.507891697677408</v>
      </c>
      <c r="R32" s="72">
        <f t="shared" si="21"/>
        <v>98.032918506623844</v>
      </c>
      <c r="S32" s="72">
        <f t="shared" si="22"/>
        <v>97.890906521585535</v>
      </c>
      <c r="T32" s="72">
        <f t="shared" si="23"/>
        <v>98.170709793351307</v>
      </c>
      <c r="U32" s="72">
        <f t="shared" si="24"/>
        <v>98.325820991629101</v>
      </c>
      <c r="V32" s="72">
        <f t="shared" si="25"/>
        <v>98.322316424773675</v>
      </c>
      <c r="W32" s="72">
        <f t="shared" si="26"/>
        <v>98.45918841734742</v>
      </c>
      <c r="X32" s="72">
        <f t="shared" si="27"/>
        <v>97.33850299007689</v>
      </c>
      <c r="Y32" s="72">
        <f t="shared" si="28"/>
        <v>98.975188781014026</v>
      </c>
      <c r="Z32" s="72">
        <f t="shared" si="29"/>
        <v>99.025574277975167</v>
      </c>
      <c r="AA32" s="72">
        <f t="shared" si="4"/>
        <v>99.29845510859019</v>
      </c>
      <c r="AB32" s="72">
        <f t="shared" si="5"/>
        <v>99.211296710866193</v>
      </c>
      <c r="AC32" s="72">
        <f t="shared" si="6"/>
        <v>99.884482094724689</v>
      </c>
      <c r="AD32" s="72">
        <f t="shared" si="7"/>
        <v>99.33266484561392</v>
      </c>
      <c r="AE32" s="72">
        <f t="shared" si="8"/>
        <v>99.355174884387424</v>
      </c>
      <c r="AF32" s="72">
        <f t="shared" si="8"/>
        <v>99.412133822120936</v>
      </c>
      <c r="AG32" s="73">
        <v>99.554406612469819</v>
      </c>
      <c r="AH32" s="73">
        <v>99.560815341290066</v>
      </c>
      <c r="AI32" s="88">
        <v>14.673112512746913</v>
      </c>
      <c r="AJ32" s="88">
        <v>14.673112512746913</v>
      </c>
      <c r="AK32" s="88">
        <v>14.673112512746913</v>
      </c>
      <c r="AL32" s="88">
        <v>9.5759428429246807</v>
      </c>
      <c r="AM32" s="89">
        <v>9.5759428429246807</v>
      </c>
      <c r="AN32" s="88">
        <v>9.5759428429246807</v>
      </c>
      <c r="AO32" s="88">
        <v>9.5258330677431911</v>
      </c>
      <c r="AP32" s="88">
        <v>9.5759428429246807</v>
      </c>
      <c r="AQ32" s="88">
        <v>9.5687666370896185</v>
      </c>
      <c r="AR32" s="27">
        <v>7.1412964311726137</v>
      </c>
      <c r="AS32" s="27">
        <v>6.515156912335696</v>
      </c>
      <c r="AT32" s="27">
        <v>6.8809662965127609</v>
      </c>
      <c r="AU32" s="27">
        <v>5.4921083023225972</v>
      </c>
      <c r="AV32" s="27">
        <v>1.9670814933761542</v>
      </c>
      <c r="AW32" s="27">
        <v>2.1090934784144704</v>
      </c>
      <c r="AX32" s="27">
        <v>1.8292902066486971</v>
      </c>
      <c r="AY32" s="70">
        <v>1.6741790083708949</v>
      </c>
      <c r="AZ32" s="59">
        <v>1.6776835752263255</v>
      </c>
      <c r="BA32" s="70">
        <v>1.5408115826525868</v>
      </c>
      <c r="BB32" s="70">
        <v>2.6614970099231123</v>
      </c>
      <c r="BC32" s="70">
        <v>1.0248112189859764</v>
      </c>
      <c r="BD32" s="70">
        <v>0.97442572202483557</v>
      </c>
      <c r="BE32" s="70">
        <v>0.70154489140980669</v>
      </c>
      <c r="BF32" s="70">
        <v>0.78870328913380405</v>
      </c>
      <c r="BG32" s="70">
        <v>0.11551790527531768</v>
      </c>
      <c r="BH32" s="59">
        <v>0.66733515438608626</v>
      </c>
      <c r="BI32" s="59">
        <v>0.64482511561257949</v>
      </c>
      <c r="BJ32" s="59">
        <v>0.58786617787905948</v>
      </c>
      <c r="BK32" s="59">
        <v>0.44559338753018807</v>
      </c>
      <c r="BL32" s="59">
        <f t="shared" si="3"/>
        <v>0.43918465870993373</v>
      </c>
      <c r="BM32" s="88">
        <v>12.814895947426066</v>
      </c>
      <c r="BN32" s="88">
        <v>12.814895947426066</v>
      </c>
      <c r="BO32" s="88">
        <v>12.814895947426066</v>
      </c>
      <c r="BP32" s="88">
        <v>8.0545978032915073</v>
      </c>
      <c r="BQ32" s="89">
        <v>8.0545978032915073</v>
      </c>
      <c r="BR32" s="88">
        <v>8.0545978032915073</v>
      </c>
      <c r="BS32" s="88">
        <v>8.05269308403272</v>
      </c>
      <c r="BT32" s="88">
        <v>8.0545978032915073</v>
      </c>
      <c r="BU32" s="88">
        <v>8.0425909494232481</v>
      </c>
      <c r="BV32" s="27">
        <v>5.3168244719592135</v>
      </c>
      <c r="BW32" s="27">
        <v>5.5996865315427637</v>
      </c>
      <c r="BX32" s="27">
        <v>5.7705045782193647</v>
      </c>
      <c r="BY32" s="27">
        <v>4.5639248898584199</v>
      </c>
      <c r="BZ32" s="27">
        <v>1.7079668625232656</v>
      </c>
      <c r="CA32" s="27">
        <v>1.7911396876987211</v>
      </c>
      <c r="CB32" s="27">
        <v>1.459119496855346</v>
      </c>
      <c r="CC32" s="70">
        <f>(381/29507)*100</f>
        <v>1.2912190327718847</v>
      </c>
      <c r="CD32" s="70">
        <f>(343/27836)*100</f>
        <v>1.2322172725966374</v>
      </c>
      <c r="CE32" s="70">
        <f>(405/30114)*100</f>
        <v>1.3448894202032278</v>
      </c>
      <c r="CF32" s="70">
        <f>(296/30434)*100</f>
        <v>0.972596438194125</v>
      </c>
      <c r="CG32" s="70">
        <f>(228/29664)*100</f>
        <v>0.76860841423948223</v>
      </c>
      <c r="CH32" s="70">
        <v>0.70355647799627119</v>
      </c>
      <c r="CI32" s="70">
        <v>0.53362191208299126</v>
      </c>
      <c r="CJ32" s="70">
        <v>0.57172378164284487</v>
      </c>
      <c r="CK32" s="70">
        <v>0.11551790527531768</v>
      </c>
      <c r="CL32" s="59">
        <v>0.41838110715397114</v>
      </c>
      <c r="CM32" s="59">
        <v>0.59597472806617602</v>
      </c>
      <c r="CN32" s="59">
        <v>0.49869546550414484</v>
      </c>
      <c r="CO32" s="59">
        <v>0.34695057655022277</v>
      </c>
      <c r="CP32" s="59">
        <v>0.50623575164275181</v>
      </c>
      <c r="CQ32" s="59">
        <v>0.25261521520873143</v>
      </c>
      <c r="CR32" s="35">
        <v>15.035243836315503</v>
      </c>
      <c r="CS32" s="35">
        <v>8.1625327542266408</v>
      </c>
      <c r="CT32" s="35">
        <v>1.3599428823989392</v>
      </c>
      <c r="CU32" s="35">
        <v>1.0214745642719887</v>
      </c>
      <c r="CV32" s="35">
        <v>0.53362191208299126</v>
      </c>
      <c r="CW32" s="11">
        <v>93.5</v>
      </c>
      <c r="CX32" s="35">
        <v>9.4808559639190086</v>
      </c>
      <c r="CY32" s="35">
        <v>5.6556734810171667</v>
      </c>
      <c r="CZ32" s="35">
        <v>0.52229947430897072</v>
      </c>
      <c r="DA32" s="35">
        <v>0.43234479497399181</v>
      </c>
      <c r="DB32" s="35">
        <v>0.168249457862858</v>
      </c>
      <c r="DC32" s="35">
        <v>0.46999999999999886</v>
      </c>
    </row>
    <row r="33" spans="1:107">
      <c r="E33" s="27"/>
      <c r="F33" s="27"/>
      <c r="G33" s="27"/>
      <c r="H33" s="90"/>
      <c r="I33" s="91"/>
      <c r="J33" s="91"/>
      <c r="K33" s="91"/>
      <c r="L33" s="27"/>
      <c r="M33" s="27"/>
      <c r="N33" s="27"/>
      <c r="O33" s="27"/>
      <c r="P33" s="27"/>
      <c r="Q33" s="27"/>
      <c r="R33" s="27"/>
      <c r="S33" s="27"/>
      <c r="T33" s="27"/>
      <c r="U33" s="45"/>
      <c r="V33" s="59"/>
      <c r="W33" s="45"/>
      <c r="X33" s="45"/>
      <c r="Y33" s="45"/>
      <c r="Z33" s="45"/>
      <c r="AA33" s="45"/>
      <c r="AB33" s="45"/>
      <c r="AC33" s="45"/>
      <c r="AD33" s="59"/>
      <c r="AE33" s="59"/>
      <c r="AF33" s="59"/>
      <c r="AG33" s="73"/>
      <c r="AH33" s="73"/>
      <c r="AI33" s="27"/>
      <c r="AJ33" s="27"/>
      <c r="AK33" s="27"/>
      <c r="AL33" s="90"/>
      <c r="AM33" s="91"/>
      <c r="AN33" s="91"/>
      <c r="AO33" s="91"/>
      <c r="AP33" s="27"/>
      <c r="AQ33" s="27"/>
      <c r="AR33" s="27"/>
      <c r="AS33" s="27"/>
      <c r="AT33" s="27"/>
      <c r="AU33" s="27"/>
      <c r="AV33" s="27"/>
      <c r="AW33" s="27"/>
      <c r="AX33" s="27"/>
      <c r="AY33" s="45"/>
      <c r="AZ33" s="59"/>
      <c r="BA33" s="45"/>
      <c r="BB33" s="45"/>
      <c r="BC33" s="45"/>
      <c r="BD33" s="45"/>
      <c r="BE33" s="45"/>
      <c r="BF33" s="45"/>
      <c r="BG33" s="45"/>
      <c r="BH33" s="59"/>
      <c r="BI33" s="59"/>
      <c r="BJ33" s="59"/>
      <c r="BK33" s="59"/>
      <c r="BL33" s="59"/>
      <c r="BM33" s="27"/>
      <c r="BN33" s="27"/>
      <c r="BO33" s="27"/>
      <c r="BP33" s="90"/>
      <c r="BQ33" s="91"/>
      <c r="BR33" s="91"/>
      <c r="BS33" s="91"/>
      <c r="BT33" s="27"/>
      <c r="BU33" s="27"/>
      <c r="BV33" s="27"/>
      <c r="BW33" s="27"/>
      <c r="BX33" s="27"/>
      <c r="BY33" s="27"/>
      <c r="BZ33" s="27"/>
      <c r="CA33" s="27"/>
      <c r="CB33" s="27"/>
      <c r="CC33" s="45"/>
      <c r="CD33" s="45"/>
      <c r="CE33" s="45"/>
      <c r="CF33" s="45"/>
      <c r="CG33" s="45"/>
      <c r="CH33" s="45"/>
      <c r="CI33" s="45"/>
      <c r="CJ33" s="45"/>
      <c r="CK33" s="45"/>
      <c r="CL33" s="59"/>
      <c r="CM33" s="59"/>
      <c r="CN33" s="59"/>
      <c r="CO33" s="59"/>
      <c r="CP33" s="59"/>
      <c r="CQ33" s="59"/>
      <c r="CR33" s="45"/>
      <c r="CS33" s="45"/>
      <c r="CT33" s="45"/>
      <c r="CU33" s="45"/>
      <c r="CV33" s="45"/>
      <c r="CW33" s="11"/>
      <c r="CX33" s="45"/>
      <c r="CY33" s="45"/>
      <c r="CZ33" s="45"/>
      <c r="DA33" s="45"/>
      <c r="DB33" s="45"/>
      <c r="DC33" s="45"/>
    </row>
    <row r="34" spans="1:107">
      <c r="A34" s="3" t="s">
        <v>727</v>
      </c>
      <c r="E34" s="72">
        <v>93.119562805061364</v>
      </c>
      <c r="F34" s="72">
        <v>93.414998010364542</v>
      </c>
      <c r="G34" s="72">
        <v>94.214436738585817</v>
      </c>
      <c r="H34" s="72">
        <v>94.488397571751861</v>
      </c>
      <c r="I34" s="72">
        <v>95.102592546337448</v>
      </c>
      <c r="J34" s="72">
        <v>95.023371281058019</v>
      </c>
      <c r="K34" s="72">
        <v>95.387566971784906</v>
      </c>
      <c r="L34" s="72">
        <v>95.10561677432726</v>
      </c>
      <c r="M34" s="72">
        <v>95.779663239343449</v>
      </c>
      <c r="N34" s="72">
        <v>96.189016625768886</v>
      </c>
      <c r="O34" s="72">
        <v>96.35418908349375</v>
      </c>
      <c r="P34" s="72">
        <v>97.156671499161277</v>
      </c>
      <c r="Q34" s="72">
        <v>97.013785149466202</v>
      </c>
      <c r="R34" s="72">
        <v>97.169668249183587</v>
      </c>
      <c r="S34" s="72">
        <v>97.535932188010847</v>
      </c>
      <c r="T34" s="72">
        <v>97.501121226417837</v>
      </c>
      <c r="U34" s="72">
        <v>97.925422936749698</v>
      </c>
      <c r="V34" s="72">
        <v>98.480895983145444</v>
      </c>
      <c r="W34" s="72">
        <v>98.618508559287392</v>
      </c>
      <c r="X34" s="72">
        <v>98.668103250653346</v>
      </c>
      <c r="Y34" s="72">
        <v>98.714314624840924</v>
      </c>
      <c r="Z34" s="72">
        <v>98.655892842099348</v>
      </c>
      <c r="AA34" s="72">
        <v>98.842560352415319</v>
      </c>
      <c r="AB34" s="72">
        <v>98.816196531923879</v>
      </c>
      <c r="AC34" s="72">
        <v>98.994453822040029</v>
      </c>
      <c r="AD34" s="72">
        <v>99.000048300363858</v>
      </c>
      <c r="AE34" s="72">
        <v>98.71</v>
      </c>
      <c r="AF34" s="72">
        <v>98.996097841544398</v>
      </c>
      <c r="AG34" s="73">
        <v>99.006119314441747</v>
      </c>
      <c r="AH34" s="73">
        <v>99.278296004654095</v>
      </c>
      <c r="AI34" s="27">
        <v>6.8804371949386383</v>
      </c>
      <c r="AJ34" s="27">
        <v>6.5850019896354581</v>
      </c>
      <c r="AK34" s="27">
        <v>5.7855632614141799</v>
      </c>
      <c r="AL34" s="27">
        <v>5.5116024282481408</v>
      </c>
      <c r="AM34" s="27">
        <v>4.8974074536625505</v>
      </c>
      <c r="AN34" s="27">
        <v>4.9766287189419813</v>
      </c>
      <c r="AO34" s="27">
        <v>4.6124330282150874</v>
      </c>
      <c r="AP34" s="27">
        <v>4.8943832256727351</v>
      </c>
      <c r="AQ34" s="27">
        <v>4.2203367606565489</v>
      </c>
      <c r="AR34" s="27">
        <v>3.8109833742311068</v>
      </c>
      <c r="AS34" s="27">
        <v>3.6458109165062549</v>
      </c>
      <c r="AT34" s="27">
        <v>2.8433285008387288</v>
      </c>
      <c r="AU34" s="27">
        <v>2.9862148505338029</v>
      </c>
      <c r="AV34" s="27">
        <v>2.8303317508164141</v>
      </c>
      <c r="AW34" s="27">
        <v>2.4640678119891528</v>
      </c>
      <c r="AX34" s="27">
        <v>2.4988787735821583</v>
      </c>
      <c r="AY34" s="59">
        <v>2.0745770632503087</v>
      </c>
      <c r="AZ34" s="59">
        <v>1.5191040168545491</v>
      </c>
      <c r="BA34" s="45">
        <v>1.3814914407126118</v>
      </c>
      <c r="BB34" s="45">
        <v>1.33189674934666</v>
      </c>
      <c r="BC34" s="45">
        <v>1.2856853751590809</v>
      </c>
      <c r="BD34" s="45">
        <v>1.3441071579006487</v>
      </c>
      <c r="BE34" s="45">
        <v>1.1574396475846829</v>
      </c>
      <c r="BF34" s="45">
        <v>1.1838034680761196</v>
      </c>
      <c r="BG34" s="45">
        <v>1.005546177959971</v>
      </c>
      <c r="BH34" s="59">
        <v>0.99995169963613717</v>
      </c>
      <c r="BI34" s="59">
        <v>1.29</v>
      </c>
      <c r="BJ34" s="59">
        <f>100-AF34</f>
        <v>1.0039021584556025</v>
      </c>
      <c r="BK34" s="59">
        <f>100-AG34</f>
        <v>0.99388068555825271</v>
      </c>
      <c r="BL34" s="59">
        <f>100-AH34</f>
        <v>0.72170399534590501</v>
      </c>
      <c r="BM34" s="27">
        <v>5.5277394333276142</v>
      </c>
      <c r="BN34" s="27">
        <v>5.363411909850309</v>
      </c>
      <c r="BO34" s="27">
        <v>4.6755346556349835</v>
      </c>
      <c r="BP34" s="27">
        <v>4.2991247290970698</v>
      </c>
      <c r="BQ34" s="27">
        <v>4.0378780643692016</v>
      </c>
      <c r="BR34" s="27">
        <v>4.0498727247105952</v>
      </c>
      <c r="BS34" s="27">
        <v>3.8212965855441143</v>
      </c>
      <c r="BT34" s="27">
        <v>3.6878072932858932</v>
      </c>
      <c r="BU34" s="27">
        <v>3.4156352530566725</v>
      </c>
      <c r="BV34" s="27">
        <v>2.9531787906842961</v>
      </c>
      <c r="BW34" s="27">
        <v>2.751611414289679</v>
      </c>
      <c r="BX34" s="27">
        <v>1.8244058688243376</v>
      </c>
      <c r="BY34" s="27">
        <v>1.8074224539076182</v>
      </c>
      <c r="BZ34" s="27">
        <v>1.7696072979691113</v>
      </c>
      <c r="CA34" s="27">
        <v>1.5711962956295979</v>
      </c>
      <c r="CB34" s="27">
        <v>1.3294541811552418</v>
      </c>
      <c r="CC34" s="45">
        <f>(8057/701878)*100</f>
        <v>1.14792029384024</v>
      </c>
      <c r="CD34" s="45">
        <f>(7701/683495)*100</f>
        <v>1.12670904688403</v>
      </c>
      <c r="CE34" s="45">
        <f>(7554/694684)*100</f>
        <v>1.0874008901889205</v>
      </c>
      <c r="CF34" s="45">
        <f>(6109/697952)*100</f>
        <v>0.87527509055063957</v>
      </c>
      <c r="CG34" s="45">
        <f>(6451/736261)*100</f>
        <v>0.87618385328029047</v>
      </c>
      <c r="CH34" s="45">
        <v>0.77672629243772995</v>
      </c>
      <c r="CI34" s="45">
        <v>0.64397926056535204</v>
      </c>
      <c r="CJ34" s="45">
        <v>0.58947590725921528</v>
      </c>
      <c r="CK34" s="45">
        <v>0.51014119979637218</v>
      </c>
      <c r="CL34" s="59">
        <v>0.54780662680992198</v>
      </c>
      <c r="CM34" s="59">
        <v>0.5182655889634159</v>
      </c>
      <c r="CN34" s="59">
        <v>0.45815403368151109</v>
      </c>
      <c r="CO34" s="59">
        <v>0.36826949905054462</v>
      </c>
      <c r="CP34" s="59">
        <v>0.46024200804926563</v>
      </c>
      <c r="CQ34" s="59">
        <v>0.32</v>
      </c>
      <c r="CR34" s="45">
        <v>8.1515098621050797</v>
      </c>
      <c r="CS34" s="45">
        <v>3.8481456695191785</v>
      </c>
      <c r="CT34" s="45">
        <v>1.2157648438577933</v>
      </c>
      <c r="CU34" s="45">
        <v>0.98916158985145552</v>
      </c>
      <c r="CV34" s="45">
        <v>0.64656756955466854</v>
      </c>
      <c r="CW34" s="11">
        <v>96.4</v>
      </c>
      <c r="CX34" s="45">
        <v>6.0715199351543392</v>
      </c>
      <c r="CY34" s="45">
        <v>2.8652614527101292</v>
      </c>
      <c r="CZ34" s="45">
        <v>0.74524933844328856</v>
      </c>
      <c r="DA34" s="45">
        <v>0.69745772900659075</v>
      </c>
      <c r="DB34" s="45">
        <v>0.44212478702525504</v>
      </c>
      <c r="DC34" s="45">
        <v>0.59999999999999432</v>
      </c>
    </row>
    <row r="35" spans="1:107" ht="409">
      <c r="A35" s="7" t="s">
        <v>728</v>
      </c>
      <c r="B35" s="7"/>
      <c r="C35" s="7"/>
      <c r="D35" s="7"/>
      <c r="E35" s="7" t="s">
        <v>3</v>
      </c>
      <c r="F35" s="7" t="s">
        <v>22</v>
      </c>
      <c r="G35" s="7" t="s">
        <v>23</v>
      </c>
      <c r="H35" s="7" t="s">
        <v>46</v>
      </c>
      <c r="I35" s="7" t="s">
        <v>43</v>
      </c>
      <c r="J35" s="7" t="s">
        <v>44</v>
      </c>
      <c r="K35" s="7" t="s">
        <v>56</v>
      </c>
      <c r="L35" s="7" t="s">
        <v>38</v>
      </c>
      <c r="M35" s="7" t="s">
        <v>39</v>
      </c>
      <c r="N35" s="7" t="s">
        <v>20</v>
      </c>
      <c r="O35" s="7" t="s">
        <v>14</v>
      </c>
      <c r="P35" s="7" t="s">
        <v>18</v>
      </c>
      <c r="Q35" s="7" t="s">
        <v>4</v>
      </c>
      <c r="R35" s="7" t="s">
        <v>15</v>
      </c>
      <c r="S35" s="7" t="s">
        <v>17</v>
      </c>
      <c r="T35" s="7" t="s">
        <v>3242</v>
      </c>
      <c r="U35" s="7" t="s">
        <v>9</v>
      </c>
      <c r="V35" s="7" t="s">
        <v>1893</v>
      </c>
      <c r="W35" s="7" t="s">
        <v>1894</v>
      </c>
      <c r="X35" s="7" t="s">
        <v>1895</v>
      </c>
      <c r="Y35" s="7" t="s">
        <v>1896</v>
      </c>
      <c r="Z35" s="7" t="s">
        <v>1897</v>
      </c>
      <c r="AA35" s="7" t="s">
        <v>1898</v>
      </c>
      <c r="AB35" s="7" t="s">
        <v>1899</v>
      </c>
      <c r="AC35" s="7" t="s">
        <v>1900</v>
      </c>
      <c r="AD35" s="7" t="s">
        <v>1901</v>
      </c>
      <c r="AE35" s="7" t="s">
        <v>1892</v>
      </c>
      <c r="AF35" s="7" t="s">
        <v>1890</v>
      </c>
      <c r="AG35" s="7" t="s">
        <v>2843</v>
      </c>
      <c r="AH35" s="7" t="s">
        <v>2844</v>
      </c>
      <c r="AI35" s="7" t="s">
        <v>3241</v>
      </c>
      <c r="AJ35" s="7" t="s">
        <v>22</v>
      </c>
      <c r="AK35" s="7" t="s">
        <v>23</v>
      </c>
      <c r="AL35" s="7" t="s">
        <v>46</v>
      </c>
      <c r="AM35" s="7" t="s">
        <v>43</v>
      </c>
      <c r="AN35" s="7" t="s">
        <v>44</v>
      </c>
      <c r="AO35" s="7" t="s">
        <v>56</v>
      </c>
      <c r="AP35" s="7" t="s">
        <v>38</v>
      </c>
      <c r="AQ35" s="7" t="s">
        <v>39</v>
      </c>
      <c r="AR35" s="7" t="s">
        <v>20</v>
      </c>
      <c r="AS35" s="7" t="s">
        <v>14</v>
      </c>
      <c r="AT35" s="7" t="s">
        <v>18</v>
      </c>
      <c r="AU35" s="7" t="s">
        <v>4</v>
      </c>
      <c r="AV35" s="7" t="s">
        <v>16</v>
      </c>
      <c r="AW35" s="7" t="s">
        <v>17</v>
      </c>
      <c r="AX35" s="7" t="s">
        <v>3242</v>
      </c>
      <c r="AY35" s="7" t="s">
        <v>9</v>
      </c>
      <c r="AZ35" s="7" t="s">
        <v>1893</v>
      </c>
      <c r="BA35" s="7" t="s">
        <v>1894</v>
      </c>
      <c r="BB35" s="7" t="s">
        <v>1895</v>
      </c>
      <c r="BC35" s="7" t="s">
        <v>1896</v>
      </c>
      <c r="BD35" s="7" t="s">
        <v>1897</v>
      </c>
      <c r="BE35" s="7" t="s">
        <v>1898</v>
      </c>
      <c r="BF35" s="7" t="s">
        <v>1899</v>
      </c>
      <c r="BG35" s="7" t="s">
        <v>1900</v>
      </c>
      <c r="BH35" s="7" t="s">
        <v>1901</v>
      </c>
      <c r="BI35" s="7" t="s">
        <v>1892</v>
      </c>
      <c r="BJ35" s="7" t="s">
        <v>1890</v>
      </c>
      <c r="BK35" s="7" t="s">
        <v>2840</v>
      </c>
      <c r="BL35" s="7" t="s">
        <v>2845</v>
      </c>
      <c r="BM35" s="7" t="s">
        <v>21</v>
      </c>
      <c r="BN35" s="7" t="s">
        <v>57</v>
      </c>
      <c r="BO35" s="7" t="s">
        <v>23</v>
      </c>
      <c r="BP35" s="7" t="s">
        <v>41</v>
      </c>
      <c r="BQ35" s="7" t="s">
        <v>42</v>
      </c>
      <c r="BR35" s="7" t="s">
        <v>25</v>
      </c>
      <c r="BS35" s="7" t="s">
        <v>56</v>
      </c>
      <c r="BT35" s="7" t="s">
        <v>38</v>
      </c>
      <c r="BU35" s="7" t="s">
        <v>39</v>
      </c>
      <c r="BV35" s="7" t="s">
        <v>20</v>
      </c>
      <c r="BW35" s="7" t="s">
        <v>40</v>
      </c>
      <c r="BX35" s="7" t="s">
        <v>49</v>
      </c>
      <c r="BY35" s="7" t="s">
        <v>4</v>
      </c>
      <c r="BZ35" s="7" t="s">
        <v>15</v>
      </c>
      <c r="CA35" s="7" t="s">
        <v>24</v>
      </c>
      <c r="CB35" s="7" t="s">
        <v>45</v>
      </c>
      <c r="CC35" s="7" t="s">
        <v>1597</v>
      </c>
      <c r="CD35" s="7" t="s">
        <v>1658</v>
      </c>
      <c r="CE35" s="7" t="s">
        <v>1551</v>
      </c>
      <c r="CF35" s="7" t="s">
        <v>1550</v>
      </c>
      <c r="CG35" s="7" t="s">
        <v>1744</v>
      </c>
      <c r="CH35" s="7" t="s">
        <v>1774</v>
      </c>
      <c r="CI35" s="7" t="s">
        <v>1655</v>
      </c>
      <c r="CJ35" s="7" t="s">
        <v>1666</v>
      </c>
      <c r="CK35" s="7" t="s">
        <v>137</v>
      </c>
      <c r="CL35" s="7" t="s">
        <v>2576</v>
      </c>
      <c r="CM35" s="7" t="s">
        <v>2577</v>
      </c>
      <c r="CN35" s="7" t="s">
        <v>2578</v>
      </c>
      <c r="CO35" s="7" t="s">
        <v>3491</v>
      </c>
      <c r="CP35" s="7" t="s">
        <v>3492</v>
      </c>
      <c r="CQ35" s="7" t="s">
        <v>3356</v>
      </c>
      <c r="CR35" s="7" t="s">
        <v>308</v>
      </c>
      <c r="CS35" s="7" t="s">
        <v>308</v>
      </c>
      <c r="CT35" s="7" t="s">
        <v>308</v>
      </c>
      <c r="CU35" s="7" t="s">
        <v>1583</v>
      </c>
      <c r="CV35" s="7" t="s">
        <v>308</v>
      </c>
      <c r="CW35" s="1" t="s">
        <v>1224</v>
      </c>
      <c r="CX35" s="7" t="s">
        <v>308</v>
      </c>
      <c r="CY35" s="7" t="s">
        <v>308</v>
      </c>
      <c r="CZ35" s="7" t="s">
        <v>308</v>
      </c>
      <c r="DA35" s="7" t="s">
        <v>455</v>
      </c>
      <c r="DB35" s="7" t="s">
        <v>308</v>
      </c>
      <c r="DC35" s="7" t="s">
        <v>1418</v>
      </c>
    </row>
    <row r="36" spans="1:107" ht="409">
      <c r="A36" s="7"/>
      <c r="B36" s="7"/>
      <c r="C36" s="7"/>
      <c r="D36" s="7"/>
      <c r="E36" s="7" t="s">
        <v>59</v>
      </c>
      <c r="F36" s="7" t="s">
        <v>69</v>
      </c>
      <c r="G36" s="7" t="s">
        <v>70</v>
      </c>
      <c r="H36" s="7" t="s">
        <v>10</v>
      </c>
      <c r="I36" s="7" t="s">
        <v>67</v>
      </c>
      <c r="J36" s="7" t="s">
        <v>58</v>
      </c>
      <c r="K36" s="7" t="s">
        <v>60</v>
      </c>
      <c r="L36" s="7" t="s">
        <v>3235</v>
      </c>
      <c r="M36" s="7" t="s">
        <v>50</v>
      </c>
      <c r="N36" s="7" t="s">
        <v>51</v>
      </c>
      <c r="O36" s="7" t="s">
        <v>52</v>
      </c>
      <c r="P36" s="7" t="s">
        <v>11</v>
      </c>
      <c r="Q36" s="7" t="s">
        <v>12</v>
      </c>
      <c r="R36" s="7" t="s">
        <v>13</v>
      </c>
      <c r="S36" s="7" t="s">
        <v>3245</v>
      </c>
      <c r="T36" s="7" t="s">
        <v>3243</v>
      </c>
      <c r="U36" s="7" t="s">
        <v>3244</v>
      </c>
      <c r="V36" s="1"/>
      <c r="W36" s="1"/>
      <c r="X36" s="1"/>
      <c r="Y36" s="1"/>
      <c r="Z36" s="1"/>
      <c r="AA36" s="1"/>
      <c r="AB36" s="1"/>
      <c r="AC36" s="1"/>
      <c r="AD36" s="1"/>
      <c r="AE36" s="1"/>
      <c r="AF36" s="1"/>
      <c r="AG36" s="1"/>
      <c r="AH36" s="1"/>
      <c r="AI36" s="7" t="s">
        <v>59</v>
      </c>
      <c r="AJ36" s="7" t="s">
        <v>69</v>
      </c>
      <c r="AK36" s="7" t="s">
        <v>70</v>
      </c>
      <c r="AL36" s="7" t="s">
        <v>10</v>
      </c>
      <c r="AM36" s="7" t="s">
        <v>67</v>
      </c>
      <c r="AN36" s="7" t="s">
        <v>58</v>
      </c>
      <c r="AO36" s="7" t="s">
        <v>60</v>
      </c>
      <c r="AP36" s="7" t="s">
        <v>3234</v>
      </c>
      <c r="AQ36" s="7" t="s">
        <v>50</v>
      </c>
      <c r="AR36" s="7" t="s">
        <v>51</v>
      </c>
      <c r="AS36" s="7" t="s">
        <v>52</v>
      </c>
      <c r="AT36" s="7" t="s">
        <v>11</v>
      </c>
      <c r="AU36" s="7" t="s">
        <v>12</v>
      </c>
      <c r="AV36" s="7" t="s">
        <v>13</v>
      </c>
      <c r="AW36" s="7" t="s">
        <v>3245</v>
      </c>
      <c r="AX36" s="7" t="s">
        <v>3243</v>
      </c>
      <c r="AY36" s="7" t="s">
        <v>3244</v>
      </c>
      <c r="AZ36" s="1"/>
      <c r="BA36" s="1"/>
      <c r="BB36" s="1"/>
      <c r="BC36" s="1"/>
      <c r="BD36" s="1"/>
      <c r="BE36" s="1"/>
      <c r="BF36" s="1"/>
      <c r="BG36" s="1"/>
      <c r="BH36" s="1"/>
      <c r="BI36" s="1"/>
      <c r="BJ36" s="1"/>
      <c r="BK36" s="1"/>
      <c r="BL36" s="1"/>
      <c r="BM36" s="7" t="s">
        <v>59</v>
      </c>
      <c r="BN36" s="7" t="s">
        <v>69</v>
      </c>
      <c r="BO36" s="7" t="s">
        <v>70</v>
      </c>
      <c r="BP36" s="7" t="s">
        <v>66</v>
      </c>
      <c r="BQ36" s="7" t="s">
        <v>67</v>
      </c>
      <c r="BR36" s="7" t="s">
        <v>58</v>
      </c>
      <c r="BS36" s="7" t="s">
        <v>60</v>
      </c>
      <c r="BT36" s="7" t="s">
        <v>61</v>
      </c>
      <c r="BU36" s="7" t="s">
        <v>50</v>
      </c>
      <c r="BV36" s="7" t="s">
        <v>51</v>
      </c>
      <c r="BW36" s="7" t="s">
        <v>52</v>
      </c>
      <c r="BX36" s="7" t="s">
        <v>53</v>
      </c>
      <c r="BY36" s="7" t="s">
        <v>54</v>
      </c>
      <c r="BZ36" s="7" t="s">
        <v>55</v>
      </c>
      <c r="CA36" s="7" t="s">
        <v>2</v>
      </c>
      <c r="CB36" s="7"/>
      <c r="CC36" s="1"/>
      <c r="CD36" s="1"/>
      <c r="CE36" s="1"/>
      <c r="CF36" s="1"/>
      <c r="CG36" s="1"/>
      <c r="CH36" s="1"/>
      <c r="CI36" s="1"/>
      <c r="CJ36" s="1"/>
      <c r="CK36" s="1"/>
      <c r="CL36" s="1"/>
      <c r="CM36" s="1"/>
      <c r="CN36" s="1"/>
      <c r="CO36" s="1"/>
      <c r="CP36" s="1"/>
      <c r="CQ36" s="1"/>
      <c r="CR36" s="1"/>
      <c r="CS36" s="1"/>
      <c r="CT36" s="1"/>
      <c r="CU36" s="1"/>
      <c r="CV36" s="1"/>
      <c r="CW36" s="7"/>
      <c r="CX36" s="1"/>
      <c r="CY36" s="1"/>
      <c r="CZ36" s="1"/>
      <c r="DA36" s="1"/>
      <c r="DB36" s="1"/>
      <c r="DC36" s="1"/>
    </row>
  </sheetData>
  <phoneticPr fontId="1" type="noConversion"/>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baseColWidth="10" defaultRowHeight="13" x14ac:dyDescent="0"/>
  <cols>
    <col min="1" max="1" width="15.140625" style="3" customWidth="1"/>
    <col min="2" max="3" width="5.7109375" style="3" customWidth="1"/>
    <col min="4" max="11" width="10.7109375" style="3"/>
  </cols>
  <sheetData>
    <row r="1" spans="1:11">
      <c r="A1" s="184" t="s">
        <v>2404</v>
      </c>
    </row>
    <row r="2" spans="1:11">
      <c r="A2" s="1" t="s">
        <v>614</v>
      </c>
      <c r="B2" s="1"/>
      <c r="C2" s="1"/>
      <c r="D2" s="1"/>
      <c r="E2" s="19" t="s">
        <v>1005</v>
      </c>
      <c r="F2" s="9" t="s">
        <v>945</v>
      </c>
      <c r="G2" s="9" t="s">
        <v>945</v>
      </c>
      <c r="H2" s="9" t="s">
        <v>945</v>
      </c>
      <c r="I2" s="9" t="s">
        <v>945</v>
      </c>
      <c r="J2" s="9" t="s">
        <v>945</v>
      </c>
      <c r="K2" s="9" t="s">
        <v>945</v>
      </c>
    </row>
    <row r="3" spans="1:11">
      <c r="A3" s="1" t="s">
        <v>518</v>
      </c>
      <c r="B3" s="1"/>
      <c r="C3" s="1"/>
      <c r="D3" s="1"/>
      <c r="E3" s="19" t="s">
        <v>1065</v>
      </c>
      <c r="F3" s="9" t="s">
        <v>1066</v>
      </c>
      <c r="G3" s="1" t="s">
        <v>1006</v>
      </c>
      <c r="H3" s="1" t="s">
        <v>1067</v>
      </c>
      <c r="I3" s="1" t="s">
        <v>1040</v>
      </c>
      <c r="J3" s="1" t="s">
        <v>1041</v>
      </c>
      <c r="K3" s="1" t="s">
        <v>1042</v>
      </c>
    </row>
    <row r="4" spans="1:11">
      <c r="A4" s="1" t="s">
        <v>736</v>
      </c>
      <c r="B4" s="1"/>
      <c r="C4" s="1"/>
      <c r="D4" s="1"/>
      <c r="E4" s="19"/>
      <c r="F4" s="19"/>
      <c r="G4" s="1" t="s">
        <v>1207</v>
      </c>
      <c r="H4" s="1" t="s">
        <v>1207</v>
      </c>
      <c r="I4" s="1" t="s">
        <v>1207</v>
      </c>
      <c r="J4" s="1" t="s">
        <v>1207</v>
      </c>
      <c r="K4" s="1" t="s">
        <v>1207</v>
      </c>
    </row>
    <row r="5" spans="1:11">
      <c r="A5" s="1" t="s">
        <v>737</v>
      </c>
      <c r="B5" s="1"/>
      <c r="C5" s="1"/>
      <c r="D5" s="1"/>
      <c r="E5" s="20" t="s">
        <v>463</v>
      </c>
      <c r="F5" s="20" t="s">
        <v>463</v>
      </c>
      <c r="G5" s="1" t="s">
        <v>1216</v>
      </c>
      <c r="H5" s="1" t="s">
        <v>1216</v>
      </c>
      <c r="I5" s="1" t="s">
        <v>1216</v>
      </c>
      <c r="J5" s="1" t="s">
        <v>1216</v>
      </c>
      <c r="K5" s="1" t="s">
        <v>1216</v>
      </c>
    </row>
    <row r="6" spans="1:11">
      <c r="A6" s="42" t="s">
        <v>560</v>
      </c>
      <c r="B6" s="42"/>
      <c r="C6" s="42"/>
      <c r="D6" s="42"/>
      <c r="E6" s="42"/>
      <c r="F6" s="42"/>
      <c r="G6" s="42">
        <v>1995</v>
      </c>
      <c r="H6" s="42">
        <v>1995</v>
      </c>
      <c r="I6" s="42">
        <v>1995</v>
      </c>
      <c r="J6" s="42">
        <v>1995</v>
      </c>
      <c r="K6" s="42">
        <v>1995</v>
      </c>
    </row>
    <row r="7" spans="1:11" ht="77">
      <c r="A7" s="7" t="s">
        <v>3334</v>
      </c>
      <c r="B7" s="1"/>
      <c r="C7" s="1"/>
      <c r="D7" s="1"/>
      <c r="E7" s="19" t="s">
        <v>1075</v>
      </c>
      <c r="F7" s="19" t="s">
        <v>989</v>
      </c>
      <c r="G7" s="1" t="s">
        <v>990</v>
      </c>
      <c r="H7" s="1" t="s">
        <v>991</v>
      </c>
      <c r="I7" s="1" t="s">
        <v>992</v>
      </c>
      <c r="J7" s="1" t="s">
        <v>1062</v>
      </c>
      <c r="K7" s="1" t="s">
        <v>1063</v>
      </c>
    </row>
    <row r="8" spans="1:11">
      <c r="A8" s="9" t="s">
        <v>572</v>
      </c>
      <c r="B8" s="9" t="s">
        <v>770</v>
      </c>
      <c r="C8" s="9" t="s">
        <v>771</v>
      </c>
      <c r="D8" s="9" t="s">
        <v>772</v>
      </c>
      <c r="E8" s="22" t="s">
        <v>1127</v>
      </c>
      <c r="F8" s="22" t="s">
        <v>1128</v>
      </c>
      <c r="G8" s="9" t="s">
        <v>1129</v>
      </c>
      <c r="H8" s="9" t="s">
        <v>1130</v>
      </c>
      <c r="I8" s="9" t="s">
        <v>1131</v>
      </c>
      <c r="J8" s="9" t="s">
        <v>1132</v>
      </c>
      <c r="K8" s="9" t="s">
        <v>1133</v>
      </c>
    </row>
    <row r="9" spans="1:11">
      <c r="A9" s="3" t="s">
        <v>850</v>
      </c>
      <c r="B9" s="3" t="s">
        <v>851</v>
      </c>
      <c r="C9" s="3">
        <v>1</v>
      </c>
      <c r="D9" s="3" t="s">
        <v>759</v>
      </c>
      <c r="E9" s="27">
        <v>16.190000000000001</v>
      </c>
      <c r="F9" s="27">
        <v>3.7</v>
      </c>
      <c r="G9" s="11">
        <v>3825</v>
      </c>
      <c r="H9" s="11">
        <v>816</v>
      </c>
      <c r="I9" s="11">
        <v>3009</v>
      </c>
      <c r="J9" s="11">
        <v>256</v>
      </c>
      <c r="K9" s="11">
        <v>1400</v>
      </c>
    </row>
    <row r="10" spans="1:11">
      <c r="A10" s="3" t="s">
        <v>667</v>
      </c>
      <c r="B10" s="3" t="s">
        <v>668</v>
      </c>
      <c r="C10" s="3">
        <v>2</v>
      </c>
      <c r="D10" s="3" t="s">
        <v>759</v>
      </c>
      <c r="E10" s="27">
        <v>86.37</v>
      </c>
      <c r="F10" s="27">
        <v>7.63</v>
      </c>
      <c r="G10" s="11">
        <v>1204</v>
      </c>
      <c r="H10" s="11">
        <v>180</v>
      </c>
      <c r="I10" s="11">
        <v>1024</v>
      </c>
      <c r="J10" s="11">
        <v>41</v>
      </c>
      <c r="K10" s="11">
        <v>12</v>
      </c>
    </row>
    <row r="11" spans="1:11">
      <c r="A11" s="3" t="s">
        <v>669</v>
      </c>
      <c r="B11" s="3" t="s">
        <v>663</v>
      </c>
      <c r="C11" s="3">
        <v>3</v>
      </c>
      <c r="D11" s="3" t="s">
        <v>664</v>
      </c>
      <c r="E11" s="27">
        <v>17.7</v>
      </c>
      <c r="F11" s="27">
        <v>5.7</v>
      </c>
      <c r="G11" s="11">
        <v>464</v>
      </c>
      <c r="H11" s="11">
        <v>56</v>
      </c>
      <c r="I11" s="11">
        <v>408</v>
      </c>
      <c r="J11" s="11">
        <v>34</v>
      </c>
      <c r="K11" s="11">
        <v>291</v>
      </c>
    </row>
    <row r="12" spans="1:11">
      <c r="A12" s="3" t="s">
        <v>665</v>
      </c>
      <c r="B12" s="3" t="s">
        <v>640</v>
      </c>
      <c r="C12" s="3">
        <v>4</v>
      </c>
      <c r="D12" s="3" t="s">
        <v>641</v>
      </c>
      <c r="E12" s="27">
        <v>14.68</v>
      </c>
      <c r="F12" s="27">
        <v>4.6100000000000003</v>
      </c>
      <c r="G12" s="11">
        <v>414</v>
      </c>
      <c r="H12" s="11">
        <v>122</v>
      </c>
      <c r="I12" s="11">
        <v>292</v>
      </c>
      <c r="J12" s="11">
        <v>51</v>
      </c>
      <c r="K12" s="11">
        <v>106</v>
      </c>
    </row>
    <row r="13" spans="1:11">
      <c r="A13" s="3" t="s">
        <v>539</v>
      </c>
      <c r="B13" s="3" t="s">
        <v>540</v>
      </c>
      <c r="C13" s="3">
        <v>5</v>
      </c>
      <c r="D13" s="3" t="s">
        <v>541</v>
      </c>
      <c r="E13" s="27">
        <v>17.37</v>
      </c>
      <c r="F13" s="27">
        <v>4.83</v>
      </c>
      <c r="G13" s="11">
        <v>232</v>
      </c>
      <c r="H13" s="11">
        <v>61</v>
      </c>
      <c r="I13" s="11">
        <v>171</v>
      </c>
      <c r="J13" s="11">
        <v>30</v>
      </c>
      <c r="K13" s="11">
        <v>84</v>
      </c>
    </row>
    <row r="14" spans="1:11">
      <c r="A14" s="3" t="s">
        <v>542</v>
      </c>
      <c r="B14" s="3" t="s">
        <v>543</v>
      </c>
      <c r="C14" s="3">
        <v>6</v>
      </c>
      <c r="D14" s="3" t="s">
        <v>759</v>
      </c>
      <c r="E14" s="27">
        <v>31.72</v>
      </c>
      <c r="F14" s="27">
        <v>5.99</v>
      </c>
      <c r="G14" s="11">
        <v>1561</v>
      </c>
      <c r="H14" s="11">
        <v>573</v>
      </c>
      <c r="I14" s="11">
        <v>988</v>
      </c>
      <c r="J14" s="11">
        <v>144</v>
      </c>
      <c r="K14" s="11">
        <v>579</v>
      </c>
    </row>
    <row r="15" spans="1:11">
      <c r="A15" s="3" t="s">
        <v>628</v>
      </c>
      <c r="B15" s="3" t="s">
        <v>629</v>
      </c>
      <c r="C15" s="3">
        <v>7</v>
      </c>
      <c r="D15" s="3" t="s">
        <v>641</v>
      </c>
      <c r="E15" s="27">
        <v>16.32</v>
      </c>
      <c r="F15" s="27">
        <v>3.94</v>
      </c>
      <c r="G15" s="11">
        <v>455</v>
      </c>
      <c r="H15" s="11">
        <v>99</v>
      </c>
      <c r="I15" s="11">
        <v>356</v>
      </c>
      <c r="J15" s="11">
        <v>57</v>
      </c>
      <c r="K15" s="11">
        <v>142</v>
      </c>
    </row>
    <row r="16" spans="1:11">
      <c r="A16" s="3" t="s">
        <v>630</v>
      </c>
      <c r="B16" s="3" t="s">
        <v>631</v>
      </c>
      <c r="C16" s="3">
        <v>8</v>
      </c>
      <c r="D16" s="3" t="s">
        <v>759</v>
      </c>
      <c r="E16" s="27">
        <v>19.760000000000002</v>
      </c>
      <c r="F16" s="27">
        <v>6.17</v>
      </c>
      <c r="G16" s="11">
        <v>480</v>
      </c>
      <c r="H16" s="11">
        <v>149</v>
      </c>
      <c r="I16" s="11">
        <v>331</v>
      </c>
      <c r="J16" s="11">
        <v>66</v>
      </c>
      <c r="K16" s="11">
        <v>223</v>
      </c>
    </row>
    <row r="17" spans="1:11">
      <c r="A17" s="3" t="s">
        <v>632</v>
      </c>
      <c r="B17" s="3" t="s">
        <v>633</v>
      </c>
      <c r="C17" s="3">
        <v>9</v>
      </c>
      <c r="D17" s="3" t="s">
        <v>641</v>
      </c>
      <c r="E17" s="27">
        <v>9.69</v>
      </c>
      <c r="F17" s="27">
        <v>3.69</v>
      </c>
      <c r="G17" s="11">
        <v>246</v>
      </c>
      <c r="H17" s="11">
        <v>69</v>
      </c>
      <c r="I17" s="11">
        <v>177</v>
      </c>
      <c r="J17" s="11">
        <v>34</v>
      </c>
      <c r="K17" s="11">
        <v>153</v>
      </c>
    </row>
    <row r="18" spans="1:11">
      <c r="A18" s="3" t="s">
        <v>634</v>
      </c>
      <c r="B18" s="3" t="s">
        <v>715</v>
      </c>
      <c r="C18" s="3">
        <v>10</v>
      </c>
      <c r="D18" s="3" t="s">
        <v>664</v>
      </c>
      <c r="E18" s="27">
        <v>18.87</v>
      </c>
      <c r="F18" s="27">
        <v>5.61</v>
      </c>
      <c r="G18" s="11">
        <v>339</v>
      </c>
      <c r="H18" s="11">
        <v>48</v>
      </c>
      <c r="I18" s="11">
        <v>291</v>
      </c>
      <c r="J18" s="11">
        <v>20</v>
      </c>
      <c r="K18" s="11">
        <v>195</v>
      </c>
    </row>
    <row r="19" spans="1:11">
      <c r="A19" s="3" t="s">
        <v>716</v>
      </c>
      <c r="B19" s="3" t="s">
        <v>717</v>
      </c>
      <c r="C19" s="3">
        <v>11</v>
      </c>
      <c r="D19" s="3" t="s">
        <v>541</v>
      </c>
      <c r="E19" s="27">
        <v>18.559999999999999</v>
      </c>
      <c r="F19" s="27">
        <v>4.1399999999999997</v>
      </c>
      <c r="G19" s="11">
        <v>214</v>
      </c>
      <c r="H19" s="11">
        <v>54</v>
      </c>
      <c r="I19" s="11">
        <v>160</v>
      </c>
      <c r="J19" s="11">
        <v>35</v>
      </c>
      <c r="K19" s="11">
        <v>68</v>
      </c>
    </row>
    <row r="20" spans="1:11">
      <c r="A20" s="3" t="s">
        <v>718</v>
      </c>
      <c r="B20" s="3" t="s">
        <v>719</v>
      </c>
      <c r="C20" s="3">
        <v>12</v>
      </c>
      <c r="D20" s="3" t="s">
        <v>664</v>
      </c>
      <c r="E20" s="27">
        <v>17.489999999999998</v>
      </c>
      <c r="F20" s="27">
        <v>4.8499999999999996</v>
      </c>
      <c r="G20" s="11">
        <v>294</v>
      </c>
      <c r="H20" s="11">
        <v>29</v>
      </c>
      <c r="I20" s="11">
        <v>265</v>
      </c>
      <c r="J20" s="11">
        <v>19</v>
      </c>
      <c r="K20" s="11">
        <v>195</v>
      </c>
    </row>
    <row r="21" spans="1:11">
      <c r="A21" s="3" t="s">
        <v>711</v>
      </c>
      <c r="B21" s="3" t="s">
        <v>712</v>
      </c>
      <c r="C21" s="3">
        <v>13</v>
      </c>
      <c r="D21" s="3" t="s">
        <v>713</v>
      </c>
      <c r="E21" s="27">
        <v>23.81</v>
      </c>
      <c r="F21" s="27">
        <v>2.38</v>
      </c>
      <c r="G21" s="11">
        <v>540</v>
      </c>
      <c r="H21" s="11">
        <v>81</v>
      </c>
      <c r="I21" s="11">
        <v>459</v>
      </c>
      <c r="J21" s="11">
        <v>29</v>
      </c>
      <c r="K21" s="11">
        <v>223</v>
      </c>
    </row>
    <row r="22" spans="1:11">
      <c r="A22" s="3" t="s">
        <v>714</v>
      </c>
      <c r="B22" s="3" t="s">
        <v>530</v>
      </c>
      <c r="C22" s="3">
        <v>14</v>
      </c>
      <c r="D22" s="3" t="s">
        <v>641</v>
      </c>
      <c r="E22" s="27">
        <v>10.78</v>
      </c>
      <c r="F22" s="27">
        <v>3.29</v>
      </c>
      <c r="G22" s="11">
        <v>443</v>
      </c>
      <c r="H22" s="11">
        <v>122</v>
      </c>
      <c r="I22" s="11">
        <v>321</v>
      </c>
      <c r="J22" s="11">
        <v>37</v>
      </c>
      <c r="K22" s="11">
        <v>180</v>
      </c>
    </row>
    <row r="23" spans="1:11">
      <c r="A23" s="3" t="s">
        <v>620</v>
      </c>
      <c r="B23" s="3" t="s">
        <v>621</v>
      </c>
      <c r="C23" s="3">
        <v>15</v>
      </c>
      <c r="D23" s="3" t="s">
        <v>541</v>
      </c>
      <c r="E23" s="27">
        <v>16.579999999999998</v>
      </c>
      <c r="F23" s="27">
        <v>2.89</v>
      </c>
      <c r="G23" s="11">
        <v>277</v>
      </c>
      <c r="H23" s="11">
        <v>39</v>
      </c>
      <c r="I23" s="11">
        <v>238</v>
      </c>
      <c r="J23" s="11">
        <v>28</v>
      </c>
      <c r="K23" s="11">
        <v>132</v>
      </c>
    </row>
    <row r="24" spans="1:11">
      <c r="A24" s="3" t="s">
        <v>622</v>
      </c>
      <c r="B24" s="3" t="s">
        <v>925</v>
      </c>
      <c r="C24" s="3">
        <v>16</v>
      </c>
      <c r="D24" s="3" t="s">
        <v>541</v>
      </c>
      <c r="E24" s="27">
        <v>18.66</v>
      </c>
      <c r="F24" s="27">
        <v>3.48</v>
      </c>
      <c r="G24" s="11">
        <v>325</v>
      </c>
      <c r="H24" s="11">
        <v>57</v>
      </c>
      <c r="I24" s="11">
        <v>268</v>
      </c>
      <c r="J24" s="11">
        <v>27</v>
      </c>
      <c r="K24" s="11">
        <v>138</v>
      </c>
    </row>
    <row r="25" spans="1:11">
      <c r="A25" s="3" t="s">
        <v>926</v>
      </c>
      <c r="B25" s="3" t="s">
        <v>927</v>
      </c>
      <c r="C25" s="3">
        <v>17</v>
      </c>
      <c r="D25" s="3" t="s">
        <v>664</v>
      </c>
      <c r="E25" s="27">
        <v>15.42</v>
      </c>
      <c r="F25" s="27">
        <v>4.0999999999999996</v>
      </c>
      <c r="G25" s="11">
        <v>533</v>
      </c>
      <c r="H25" s="11">
        <v>79</v>
      </c>
      <c r="I25" s="11">
        <v>454</v>
      </c>
      <c r="J25" s="11">
        <v>49</v>
      </c>
      <c r="K25" s="11">
        <v>242</v>
      </c>
    </row>
    <row r="26" spans="1:11">
      <c r="A26" s="3" t="s">
        <v>928</v>
      </c>
      <c r="B26" s="3" t="s">
        <v>929</v>
      </c>
      <c r="C26" s="3">
        <v>18</v>
      </c>
      <c r="D26" s="3" t="s">
        <v>713</v>
      </c>
      <c r="E26" s="27">
        <v>22.19</v>
      </c>
      <c r="F26" s="27">
        <v>3.12</v>
      </c>
      <c r="G26" s="11">
        <v>259</v>
      </c>
      <c r="H26" s="11">
        <v>36</v>
      </c>
      <c r="I26" s="11">
        <v>223</v>
      </c>
      <c r="J26" s="11">
        <v>14</v>
      </c>
      <c r="K26" s="11">
        <v>139</v>
      </c>
    </row>
    <row r="27" spans="1:11">
      <c r="A27" s="3" t="s">
        <v>841</v>
      </c>
      <c r="B27" s="3" t="s">
        <v>659</v>
      </c>
      <c r="C27" s="3">
        <v>19</v>
      </c>
      <c r="D27" s="3" t="s">
        <v>713</v>
      </c>
      <c r="E27" s="27">
        <v>18.850000000000001</v>
      </c>
      <c r="F27" s="27">
        <v>3.81</v>
      </c>
      <c r="G27" s="11">
        <v>220</v>
      </c>
      <c r="H27" s="11">
        <v>41</v>
      </c>
      <c r="I27" s="11">
        <v>179</v>
      </c>
      <c r="J27" s="11">
        <v>22</v>
      </c>
      <c r="K27" s="11">
        <v>139</v>
      </c>
    </row>
    <row r="28" spans="1:11">
      <c r="A28" s="3" t="s">
        <v>660</v>
      </c>
      <c r="B28" s="3" t="s">
        <v>661</v>
      </c>
      <c r="C28" s="3">
        <v>20</v>
      </c>
      <c r="D28" s="3" t="s">
        <v>541</v>
      </c>
      <c r="E28" s="27">
        <v>14.28</v>
      </c>
      <c r="F28" s="27">
        <v>6.38</v>
      </c>
      <c r="G28" s="11">
        <v>92</v>
      </c>
      <c r="H28" s="11">
        <v>31</v>
      </c>
      <c r="I28" s="11">
        <v>61</v>
      </c>
      <c r="J28" s="11">
        <v>15</v>
      </c>
      <c r="K28" s="11">
        <v>31</v>
      </c>
    </row>
    <row r="29" spans="1:11">
      <c r="A29" s="3" t="s">
        <v>80</v>
      </c>
      <c r="B29" s="3" t="s">
        <v>747</v>
      </c>
      <c r="C29" s="3">
        <v>21</v>
      </c>
      <c r="D29" s="3" t="s">
        <v>759</v>
      </c>
      <c r="E29" s="27">
        <v>14.68</v>
      </c>
      <c r="F29" s="27">
        <v>4.05</v>
      </c>
      <c r="G29" s="11">
        <v>2232</v>
      </c>
      <c r="H29" s="11">
        <v>387</v>
      </c>
      <c r="I29" s="11">
        <v>1845</v>
      </c>
      <c r="J29" s="11">
        <v>134</v>
      </c>
      <c r="K29" s="11">
        <v>452</v>
      </c>
    </row>
    <row r="30" spans="1:11">
      <c r="A30" s="3" t="s">
        <v>721</v>
      </c>
      <c r="B30" s="3" t="s">
        <v>722</v>
      </c>
      <c r="C30" s="3">
        <v>22</v>
      </c>
      <c r="D30" s="3" t="s">
        <v>664</v>
      </c>
      <c r="E30" s="27">
        <v>13.85</v>
      </c>
      <c r="F30" s="27">
        <v>6.05</v>
      </c>
      <c r="G30" s="11">
        <v>576</v>
      </c>
      <c r="H30" s="11">
        <v>100</v>
      </c>
      <c r="I30" s="11">
        <v>476</v>
      </c>
      <c r="J30" s="11">
        <v>51</v>
      </c>
      <c r="K30" s="11">
        <v>321</v>
      </c>
    </row>
    <row r="31" spans="1:11">
      <c r="A31" s="3" t="s">
        <v>723</v>
      </c>
      <c r="B31" s="3" t="s">
        <v>724</v>
      </c>
      <c r="C31" s="3">
        <v>23</v>
      </c>
      <c r="D31" s="3" t="s">
        <v>541</v>
      </c>
      <c r="E31" s="27">
        <v>9.3699999999999992</v>
      </c>
      <c r="F31" s="27">
        <v>2.34</v>
      </c>
      <c r="G31" s="11">
        <v>41</v>
      </c>
      <c r="H31" s="11">
        <v>6</v>
      </c>
      <c r="I31" s="11">
        <v>35</v>
      </c>
      <c r="J31" s="11">
        <v>3</v>
      </c>
      <c r="K31" s="11">
        <v>10</v>
      </c>
    </row>
    <row r="32" spans="1:11">
      <c r="A32" s="3" t="s">
        <v>725</v>
      </c>
      <c r="B32" s="3" t="s">
        <v>726</v>
      </c>
      <c r="C32" s="3">
        <v>24</v>
      </c>
      <c r="D32" s="3" t="s">
        <v>664</v>
      </c>
      <c r="E32" s="27">
        <v>24.5</v>
      </c>
      <c r="F32" s="27">
        <v>3.11</v>
      </c>
      <c r="G32" s="11">
        <v>819</v>
      </c>
      <c r="H32" s="11">
        <v>75</v>
      </c>
      <c r="I32" s="11">
        <v>744</v>
      </c>
      <c r="J32" s="11">
        <v>35</v>
      </c>
      <c r="K32" s="11">
        <v>285</v>
      </c>
    </row>
    <row r="33" spans="1:11">
      <c r="E33" s="11"/>
      <c r="F33" s="11"/>
      <c r="G33" s="11"/>
      <c r="H33" s="11"/>
      <c r="I33" s="11"/>
      <c r="J33" s="11"/>
      <c r="K33" s="11"/>
    </row>
    <row r="34" spans="1:11">
      <c r="A34" s="3" t="s">
        <v>727</v>
      </c>
      <c r="E34" s="11"/>
      <c r="F34" s="11"/>
      <c r="G34" s="11">
        <v>16085</v>
      </c>
      <c r="H34" s="11">
        <v>3310</v>
      </c>
      <c r="I34" s="11">
        <v>12775</v>
      </c>
      <c r="J34" s="11">
        <v>1231</v>
      </c>
      <c r="K34" s="11">
        <v>5740</v>
      </c>
    </row>
    <row r="35" spans="1:11" ht="154">
      <c r="A35" s="7" t="s">
        <v>728</v>
      </c>
      <c r="B35" s="7"/>
      <c r="C35" s="7"/>
      <c r="D35" s="7"/>
      <c r="E35" s="1" t="s">
        <v>609</v>
      </c>
      <c r="F35" s="1" t="s">
        <v>609</v>
      </c>
      <c r="G35" s="1" t="s">
        <v>1224</v>
      </c>
      <c r="H35" s="1" t="s">
        <v>1224</v>
      </c>
      <c r="I35" s="1" t="s">
        <v>1224</v>
      </c>
      <c r="J35" s="1" t="s">
        <v>1224</v>
      </c>
      <c r="K35" s="1" t="s">
        <v>1224</v>
      </c>
    </row>
    <row r="36" spans="1:11">
      <c r="A36" s="7"/>
      <c r="B36" s="7"/>
      <c r="C36" s="7"/>
      <c r="D36" s="7"/>
      <c r="E36" s="7"/>
      <c r="F36" s="7"/>
      <c r="G36" s="7"/>
      <c r="H36" s="7"/>
      <c r="I36" s="7"/>
      <c r="J36" s="7"/>
      <c r="K36" s="7"/>
    </row>
  </sheetData>
  <hyperlinks>
    <hyperlink ref="A1" location="TableOfContents!A1" display="Back to Table of Contents"/>
  </hyperlinks>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
  <sheetViews>
    <sheetView workbookViewId="0">
      <selection activeCell="A7" sqref="A7"/>
    </sheetView>
  </sheetViews>
  <sheetFormatPr baseColWidth="10" defaultRowHeight="13" x14ac:dyDescent="0"/>
  <cols>
    <col min="1" max="1" width="20.5703125" customWidth="1"/>
    <col min="5" max="6" width="10.7109375" style="3"/>
    <col min="7" max="7" width="11.28515625" style="3" customWidth="1"/>
    <col min="8" max="8" width="12.5703125" style="3" customWidth="1"/>
  </cols>
  <sheetData>
    <row r="1" spans="1:8">
      <c r="A1" s="184" t="s">
        <v>2404</v>
      </c>
    </row>
    <row r="2" spans="1:8">
      <c r="A2" s="1" t="s">
        <v>2013</v>
      </c>
      <c r="B2" s="1"/>
      <c r="C2" s="1"/>
      <c r="D2" s="1"/>
      <c r="E2" s="20" t="s">
        <v>1002</v>
      </c>
      <c r="F2" s="20" t="s">
        <v>1002</v>
      </c>
      <c r="G2" s="20" t="s">
        <v>1004</v>
      </c>
      <c r="H2" s="9" t="s">
        <v>1004</v>
      </c>
    </row>
    <row r="3" spans="1:8">
      <c r="A3" s="1" t="s">
        <v>2014</v>
      </c>
      <c r="B3" s="1"/>
      <c r="C3" s="1"/>
      <c r="D3" s="1"/>
      <c r="E3" s="20" t="s">
        <v>1120</v>
      </c>
      <c r="F3" s="20" t="s">
        <v>1020</v>
      </c>
      <c r="G3" s="20" t="s">
        <v>1147</v>
      </c>
      <c r="H3" s="19" t="s">
        <v>949</v>
      </c>
    </row>
    <row r="4" spans="1:8">
      <c r="A4" s="1" t="s">
        <v>2015</v>
      </c>
      <c r="B4" s="1"/>
      <c r="C4" s="1"/>
      <c r="D4" s="1"/>
      <c r="E4" s="20"/>
      <c r="F4" s="20"/>
      <c r="G4" s="20"/>
      <c r="H4" s="19"/>
    </row>
    <row r="5" spans="1:8">
      <c r="A5" s="1" t="s">
        <v>728</v>
      </c>
      <c r="B5" s="1"/>
      <c r="C5" s="1"/>
      <c r="D5" s="1"/>
      <c r="E5" s="18" t="s">
        <v>1090</v>
      </c>
      <c r="F5" s="18" t="s">
        <v>1090</v>
      </c>
      <c r="G5" s="18" t="s">
        <v>1090</v>
      </c>
      <c r="H5" s="20" t="s">
        <v>463</v>
      </c>
    </row>
    <row r="6" spans="1:8">
      <c r="A6" s="42" t="s">
        <v>2016</v>
      </c>
      <c r="B6" s="42"/>
      <c r="C6" s="42"/>
      <c r="D6" s="42"/>
      <c r="E6" s="42">
        <v>2001</v>
      </c>
      <c r="F6" s="42">
        <v>2001</v>
      </c>
      <c r="G6" s="42">
        <v>2001</v>
      </c>
      <c r="H6" s="42" t="s">
        <v>2020</v>
      </c>
    </row>
    <row r="7" spans="1:8" ht="66">
      <c r="A7" s="7" t="s">
        <v>3334</v>
      </c>
      <c r="B7" s="1"/>
      <c r="C7" s="1"/>
      <c r="D7" s="1"/>
      <c r="E7" s="20" t="s">
        <v>1057</v>
      </c>
      <c r="F7" s="20" t="s">
        <v>1049</v>
      </c>
      <c r="G7" s="20" t="s">
        <v>995</v>
      </c>
      <c r="H7" s="19" t="s">
        <v>1074</v>
      </c>
    </row>
    <row r="8" spans="1:8">
      <c r="A8" s="9" t="s">
        <v>2017</v>
      </c>
      <c r="B8" s="9" t="s">
        <v>770</v>
      </c>
      <c r="C8" s="9" t="s">
        <v>771</v>
      </c>
      <c r="D8" s="9" t="s">
        <v>772</v>
      </c>
      <c r="E8" s="23" t="s">
        <v>1252</v>
      </c>
      <c r="F8" s="23" t="s">
        <v>1258</v>
      </c>
      <c r="G8" s="23" t="s">
        <v>1236</v>
      </c>
      <c r="H8" s="22" t="s">
        <v>1126</v>
      </c>
    </row>
    <row r="9" spans="1:8">
      <c r="A9" s="11" t="s">
        <v>850</v>
      </c>
      <c r="B9" s="11" t="s">
        <v>851</v>
      </c>
      <c r="C9" s="11">
        <v>1</v>
      </c>
      <c r="D9" s="11" t="s">
        <v>759</v>
      </c>
      <c r="E9" s="30">
        <v>4</v>
      </c>
      <c r="F9" s="30">
        <v>5.4</v>
      </c>
      <c r="G9" s="30">
        <v>14.8</v>
      </c>
      <c r="H9" s="27">
        <v>41.36</v>
      </c>
    </row>
    <row r="10" spans="1:8">
      <c r="A10" s="11" t="s">
        <v>667</v>
      </c>
      <c r="B10" s="11" t="s">
        <v>668</v>
      </c>
      <c r="C10" s="11">
        <v>2</v>
      </c>
      <c r="D10" s="11" t="s">
        <v>759</v>
      </c>
      <c r="E10" s="30">
        <v>1.6</v>
      </c>
      <c r="F10" s="30">
        <v>3.1</v>
      </c>
      <c r="G10" s="30">
        <v>1.9</v>
      </c>
      <c r="H10" s="27">
        <v>0.02</v>
      </c>
    </row>
    <row r="11" spans="1:8">
      <c r="A11" s="11" t="s">
        <v>669</v>
      </c>
      <c r="B11" s="11" t="s">
        <v>663</v>
      </c>
      <c r="C11" s="11">
        <v>3</v>
      </c>
      <c r="D11" s="11" t="s">
        <v>664</v>
      </c>
      <c r="E11" s="30">
        <v>7.5</v>
      </c>
      <c r="F11" s="30">
        <v>6.2</v>
      </c>
      <c r="G11" s="30">
        <v>24.8</v>
      </c>
      <c r="H11" s="27">
        <v>12.29</v>
      </c>
    </row>
    <row r="12" spans="1:8">
      <c r="A12" s="11" t="s">
        <v>665</v>
      </c>
      <c r="B12" s="11" t="s">
        <v>640</v>
      </c>
      <c r="C12" s="11">
        <v>4</v>
      </c>
      <c r="D12" s="11" t="s">
        <v>641</v>
      </c>
      <c r="E12" s="30">
        <v>10.3</v>
      </c>
      <c r="F12" s="30">
        <v>11.7</v>
      </c>
      <c r="G12" s="30">
        <v>45.4</v>
      </c>
      <c r="H12" s="27">
        <v>39.200000000000003</v>
      </c>
    </row>
    <row r="13" spans="1:8">
      <c r="A13" s="11" t="s">
        <v>539</v>
      </c>
      <c r="B13" s="11" t="s">
        <v>540</v>
      </c>
      <c r="C13" s="11">
        <v>5</v>
      </c>
      <c r="D13" s="11" t="s">
        <v>541</v>
      </c>
      <c r="E13" s="30">
        <v>4.9000000000000004</v>
      </c>
      <c r="F13" s="30">
        <v>4</v>
      </c>
      <c r="G13" s="30">
        <v>14.2</v>
      </c>
      <c r="H13" s="27">
        <v>6.84</v>
      </c>
    </row>
    <row r="14" spans="1:8">
      <c r="A14" s="11" t="s">
        <v>542</v>
      </c>
      <c r="B14" s="11" t="s">
        <v>543</v>
      </c>
      <c r="C14" s="11">
        <v>6</v>
      </c>
      <c r="D14" s="11" t="s">
        <v>759</v>
      </c>
      <c r="E14" s="30">
        <v>3.9</v>
      </c>
      <c r="F14" s="30">
        <v>2.4</v>
      </c>
      <c r="G14" s="30">
        <v>10.7</v>
      </c>
      <c r="H14" s="27">
        <v>21.59</v>
      </c>
    </row>
    <row r="15" spans="1:8">
      <c r="A15" s="11" t="s">
        <v>628</v>
      </c>
      <c r="B15" s="11" t="s">
        <v>629</v>
      </c>
      <c r="C15" s="11">
        <v>7</v>
      </c>
      <c r="D15" s="11" t="s">
        <v>641</v>
      </c>
      <c r="E15" s="30">
        <v>8.6999999999999993</v>
      </c>
      <c r="F15" s="30">
        <v>13.8</v>
      </c>
      <c r="G15" s="30">
        <v>32</v>
      </c>
      <c r="H15" s="27">
        <v>29.59</v>
      </c>
    </row>
    <row r="16" spans="1:8">
      <c r="A16" s="11" t="s">
        <v>630</v>
      </c>
      <c r="B16" s="11" t="s">
        <v>631</v>
      </c>
      <c r="C16" s="11">
        <v>8</v>
      </c>
      <c r="D16" s="11" t="s">
        <v>759</v>
      </c>
      <c r="E16" s="30">
        <v>4.7</v>
      </c>
      <c r="F16" s="30">
        <v>5.3</v>
      </c>
      <c r="G16" s="30">
        <v>14.8</v>
      </c>
      <c r="H16" s="27">
        <v>20.92</v>
      </c>
    </row>
    <row r="17" spans="1:8">
      <c r="A17" s="11" t="s">
        <v>632</v>
      </c>
      <c r="B17" s="11" t="s">
        <v>633</v>
      </c>
      <c r="C17" s="11">
        <v>9</v>
      </c>
      <c r="D17" s="11" t="s">
        <v>641</v>
      </c>
      <c r="E17" s="30">
        <v>13.3</v>
      </c>
      <c r="F17" s="30">
        <v>18.3</v>
      </c>
      <c r="G17" s="30">
        <v>51.7</v>
      </c>
      <c r="H17" s="27">
        <v>40.36</v>
      </c>
    </row>
    <row r="18" spans="1:8">
      <c r="A18" s="11" t="s">
        <v>634</v>
      </c>
      <c r="B18" s="11" t="s">
        <v>715</v>
      </c>
      <c r="C18" s="11">
        <v>10</v>
      </c>
      <c r="D18" s="11" t="s">
        <v>664</v>
      </c>
      <c r="E18" s="30">
        <v>10.5</v>
      </c>
      <c r="F18" s="30">
        <v>14.2</v>
      </c>
      <c r="G18" s="30">
        <v>32.799999999999997</v>
      </c>
      <c r="H18" s="27">
        <v>12.53</v>
      </c>
    </row>
    <row r="19" spans="1:8">
      <c r="A19" s="11" t="s">
        <v>716</v>
      </c>
      <c r="B19" s="11" t="s">
        <v>717</v>
      </c>
      <c r="C19" s="11">
        <v>11</v>
      </c>
      <c r="D19" s="11" t="s">
        <v>541</v>
      </c>
      <c r="E19" s="30">
        <v>2.2999999999999998</v>
      </c>
      <c r="F19" s="30">
        <v>2.1</v>
      </c>
      <c r="G19" s="30">
        <v>6.1</v>
      </c>
      <c r="H19" s="27">
        <v>25</v>
      </c>
    </row>
    <row r="20" spans="1:8">
      <c r="A20" s="11" t="s">
        <v>718</v>
      </c>
      <c r="B20" s="11" t="s">
        <v>719</v>
      </c>
      <c r="C20" s="11">
        <v>12</v>
      </c>
      <c r="D20" s="11" t="s">
        <v>664</v>
      </c>
      <c r="E20" s="30">
        <v>7.1</v>
      </c>
      <c r="F20" s="30">
        <v>6.7</v>
      </c>
      <c r="G20" s="30">
        <v>20.9</v>
      </c>
      <c r="H20" s="27">
        <v>10.78</v>
      </c>
    </row>
    <row r="21" spans="1:8">
      <c r="A21" s="11" t="s">
        <v>711</v>
      </c>
      <c r="B21" s="11" t="s">
        <v>712</v>
      </c>
      <c r="C21" s="11">
        <v>13</v>
      </c>
      <c r="D21" s="11" t="s">
        <v>713</v>
      </c>
      <c r="E21" s="30">
        <v>4.5</v>
      </c>
      <c r="F21" s="30">
        <v>4.0999999999999996</v>
      </c>
      <c r="G21" s="30">
        <v>13.2</v>
      </c>
      <c r="H21" s="27">
        <v>18.5</v>
      </c>
    </row>
    <row r="22" spans="1:8">
      <c r="A22" s="11" t="s">
        <v>714</v>
      </c>
      <c r="B22" s="11" t="s">
        <v>530</v>
      </c>
      <c r="C22" s="11">
        <v>14</v>
      </c>
      <c r="D22" s="11" t="s">
        <v>641</v>
      </c>
      <c r="E22" s="30">
        <v>6.2</v>
      </c>
      <c r="F22" s="30">
        <v>10.5</v>
      </c>
      <c r="G22" s="30">
        <v>43.9</v>
      </c>
      <c r="H22" s="27">
        <v>60.21</v>
      </c>
    </row>
    <row r="23" spans="1:8">
      <c r="A23" s="11" t="s">
        <v>620</v>
      </c>
      <c r="B23" s="11" t="s">
        <v>621</v>
      </c>
      <c r="C23" s="11">
        <v>15</v>
      </c>
      <c r="D23" s="11" t="s">
        <v>541</v>
      </c>
      <c r="E23" s="30">
        <v>5.0999999999999996</v>
      </c>
      <c r="F23" s="30">
        <v>6.1</v>
      </c>
      <c r="G23" s="30">
        <v>11.9</v>
      </c>
      <c r="H23" s="27">
        <v>9.93</v>
      </c>
    </row>
    <row r="24" spans="1:8">
      <c r="A24" s="11" t="s">
        <v>622</v>
      </c>
      <c r="B24" s="11" t="s">
        <v>925</v>
      </c>
      <c r="C24" s="11">
        <v>16</v>
      </c>
      <c r="D24" s="11" t="s">
        <v>541</v>
      </c>
      <c r="E24" s="30">
        <v>4.8</v>
      </c>
      <c r="F24" s="30">
        <v>5.8</v>
      </c>
      <c r="G24" s="30">
        <v>16.5</v>
      </c>
      <c r="H24" s="27">
        <v>10.4</v>
      </c>
    </row>
    <row r="25" spans="1:8">
      <c r="A25" s="11" t="s">
        <v>926</v>
      </c>
      <c r="B25" s="11" t="s">
        <v>927</v>
      </c>
      <c r="C25" s="11">
        <v>17</v>
      </c>
      <c r="D25" s="11" t="s">
        <v>664</v>
      </c>
      <c r="E25" s="30">
        <v>12</v>
      </c>
      <c r="F25" s="30">
        <v>15.3</v>
      </c>
      <c r="G25" s="30">
        <v>33.200000000000003</v>
      </c>
      <c r="H25" s="27">
        <v>15.09</v>
      </c>
    </row>
    <row r="26" spans="1:8">
      <c r="A26" s="11" t="s">
        <v>928</v>
      </c>
      <c r="B26" s="11" t="s">
        <v>929</v>
      </c>
      <c r="C26" s="11">
        <v>18</v>
      </c>
      <c r="D26" s="11" t="s">
        <v>713</v>
      </c>
      <c r="E26" s="30">
        <v>5.6</v>
      </c>
      <c r="F26" s="30">
        <v>9.6</v>
      </c>
      <c r="G26" s="30">
        <v>18.8</v>
      </c>
      <c r="H26" s="27">
        <v>14.14</v>
      </c>
    </row>
    <row r="27" spans="1:8">
      <c r="A27" s="11" t="s">
        <v>841</v>
      </c>
      <c r="B27" s="11" t="s">
        <v>659</v>
      </c>
      <c r="C27" s="11">
        <v>19</v>
      </c>
      <c r="D27" s="11" t="s">
        <v>713</v>
      </c>
      <c r="E27" s="30">
        <v>4.5999999999999996</v>
      </c>
      <c r="F27" s="30">
        <v>4</v>
      </c>
      <c r="G27" s="30">
        <v>13.3</v>
      </c>
      <c r="H27" s="27">
        <v>18.79</v>
      </c>
    </row>
    <row r="28" spans="1:8">
      <c r="A28" s="11" t="s">
        <v>660</v>
      </c>
      <c r="B28" s="11" t="s">
        <v>661</v>
      </c>
      <c r="C28" s="11">
        <v>20</v>
      </c>
      <c r="D28" s="11" t="s">
        <v>541</v>
      </c>
      <c r="E28" s="30">
        <v>3</v>
      </c>
      <c r="F28" s="30">
        <v>3.8</v>
      </c>
      <c r="G28" s="30">
        <v>8</v>
      </c>
      <c r="H28" s="27">
        <v>2.4</v>
      </c>
    </row>
    <row r="29" spans="1:8">
      <c r="A29" s="11" t="s">
        <v>2018</v>
      </c>
      <c r="B29" s="11" t="s">
        <v>747</v>
      </c>
      <c r="C29" s="11">
        <v>21</v>
      </c>
      <c r="D29" s="11" t="s">
        <v>759</v>
      </c>
      <c r="E29" s="30">
        <v>4.0999999999999996</v>
      </c>
      <c r="F29" s="30">
        <v>4</v>
      </c>
      <c r="G29" s="30">
        <v>13.6</v>
      </c>
      <c r="H29" s="27">
        <v>27.49</v>
      </c>
    </row>
    <row r="30" spans="1:8">
      <c r="A30" s="11" t="s">
        <v>721</v>
      </c>
      <c r="B30" s="11" t="s">
        <v>722</v>
      </c>
      <c r="C30" s="11">
        <v>22</v>
      </c>
      <c r="D30" s="11" t="s">
        <v>664</v>
      </c>
      <c r="E30" s="30">
        <v>10</v>
      </c>
      <c r="F30" s="30">
        <v>16.3</v>
      </c>
      <c r="G30" s="30">
        <v>48.5</v>
      </c>
      <c r="H30" s="27">
        <v>41.05</v>
      </c>
    </row>
    <row r="31" spans="1:8">
      <c r="A31" s="11" t="s">
        <v>723</v>
      </c>
      <c r="B31" s="11" t="s">
        <v>724</v>
      </c>
      <c r="C31" s="11">
        <v>23</v>
      </c>
      <c r="D31" s="11" t="s">
        <v>541</v>
      </c>
      <c r="E31" s="30">
        <v>1.8</v>
      </c>
      <c r="F31" s="30">
        <v>12.5</v>
      </c>
      <c r="G31" s="30">
        <v>5.5</v>
      </c>
      <c r="H31" s="27">
        <v>16.440000000000001</v>
      </c>
    </row>
    <row r="32" spans="1:8">
      <c r="A32" s="11" t="s">
        <v>725</v>
      </c>
      <c r="B32" s="11" t="s">
        <v>726</v>
      </c>
      <c r="C32" s="11">
        <v>24</v>
      </c>
      <c r="D32" s="11" t="s">
        <v>664</v>
      </c>
      <c r="E32" s="30">
        <v>7.5</v>
      </c>
      <c r="F32" s="30">
        <v>8.8000000000000007</v>
      </c>
      <c r="G32" s="30">
        <v>27.1</v>
      </c>
      <c r="H32" s="27">
        <v>16.440000000000001</v>
      </c>
    </row>
    <row r="33" spans="1:8">
      <c r="A33" s="11"/>
      <c r="B33" s="11"/>
      <c r="C33" s="11"/>
      <c r="D33" s="11"/>
      <c r="E33" s="72"/>
      <c r="F33" s="72"/>
      <c r="G33" s="72"/>
      <c r="H33" s="11"/>
    </row>
    <row r="34" spans="1:8">
      <c r="A34" s="11" t="s">
        <v>727</v>
      </c>
      <c r="B34" s="11"/>
      <c r="C34" s="11"/>
      <c r="D34" s="11"/>
      <c r="E34" s="30">
        <v>4.8</v>
      </c>
      <c r="F34" s="30">
        <v>6</v>
      </c>
      <c r="G34" s="30">
        <v>16.899999999999999</v>
      </c>
      <c r="H34" s="11"/>
    </row>
    <row r="35" spans="1:8" ht="187">
      <c r="A35" s="1" t="s">
        <v>728</v>
      </c>
      <c r="B35" s="1"/>
      <c r="C35" s="1"/>
      <c r="D35" s="1"/>
      <c r="E35" s="7" t="s">
        <v>1081</v>
      </c>
      <c r="F35" s="7" t="s">
        <v>1081</v>
      </c>
      <c r="G35" s="7" t="s">
        <v>1081</v>
      </c>
      <c r="H35" s="1" t="s">
        <v>609</v>
      </c>
    </row>
    <row r="36" spans="1:8">
      <c r="A36" s="1"/>
      <c r="B36" s="1"/>
      <c r="C36" s="1"/>
      <c r="D36" s="1"/>
      <c r="E36" s="7"/>
      <c r="F36" s="7"/>
      <c r="G36" s="7"/>
      <c r="H36" s="7"/>
    </row>
    <row r="37" spans="1:8">
      <c r="A37" s="11"/>
      <c r="B37" s="11"/>
      <c r="C37" s="11"/>
      <c r="D37" s="11"/>
    </row>
    <row r="38" spans="1:8">
      <c r="A38" s="11"/>
      <c r="B38" s="11"/>
      <c r="C38" s="11"/>
      <c r="D38" s="11"/>
    </row>
    <row r="39" spans="1:8">
      <c r="A39" s="11"/>
      <c r="B39" s="11"/>
      <c r="C39" s="11"/>
      <c r="D39" s="11"/>
    </row>
    <row r="40" spans="1:8">
      <c r="A40" s="11"/>
      <c r="B40" s="11"/>
      <c r="C40" s="11"/>
      <c r="D40" s="11"/>
    </row>
    <row r="41" spans="1:8">
      <c r="A41" s="11"/>
      <c r="B41" s="11"/>
      <c r="C41" s="11"/>
      <c r="D41" s="11"/>
    </row>
    <row r="42" spans="1:8">
      <c r="A42" s="11"/>
      <c r="B42" s="11"/>
      <c r="C42" s="11"/>
      <c r="D42" s="11"/>
    </row>
    <row r="43" spans="1:8">
      <c r="A43" s="11"/>
      <c r="B43" s="11"/>
      <c r="C43" s="11"/>
      <c r="D43" s="11"/>
    </row>
    <row r="44" spans="1:8">
      <c r="A44" s="11"/>
      <c r="B44" s="11"/>
      <c r="C44" s="11"/>
      <c r="D44" s="11"/>
    </row>
    <row r="45" spans="1:8">
      <c r="A45" s="11"/>
      <c r="B45" s="11"/>
      <c r="C45" s="11"/>
      <c r="D45" s="11"/>
    </row>
    <row r="46" spans="1:8">
      <c r="A46" s="11"/>
      <c r="B46" s="11"/>
      <c r="C46" s="11"/>
      <c r="D46" s="11"/>
    </row>
    <row r="47" spans="1:8">
      <c r="A47" s="11"/>
      <c r="B47" s="11"/>
      <c r="C47" s="11"/>
      <c r="D47" s="11"/>
    </row>
    <row r="48" spans="1:8">
      <c r="A48" s="11"/>
      <c r="B48" s="11"/>
      <c r="C48" s="11"/>
      <c r="D48" s="11"/>
    </row>
    <row r="49" spans="1:4">
      <c r="A49" s="11"/>
      <c r="B49" s="11"/>
      <c r="C49" s="11"/>
      <c r="D49" s="11"/>
    </row>
    <row r="50" spans="1:4">
      <c r="A50" s="11"/>
      <c r="B50" s="11"/>
      <c r="C50" s="11"/>
      <c r="D50" s="11"/>
    </row>
    <row r="51" spans="1:4">
      <c r="A51" s="11"/>
      <c r="B51" s="11"/>
      <c r="C51" s="11"/>
      <c r="D51" s="11"/>
    </row>
    <row r="52" spans="1:4">
      <c r="A52" s="11"/>
      <c r="B52" s="11"/>
      <c r="C52" s="11"/>
      <c r="D52" s="11"/>
    </row>
    <row r="53" spans="1:4">
      <c r="A53" s="11"/>
      <c r="B53" s="11"/>
      <c r="C53" s="11"/>
      <c r="D53" s="11"/>
    </row>
    <row r="54" spans="1:4">
      <c r="A54" s="11"/>
      <c r="B54" s="11"/>
      <c r="C54" s="11"/>
      <c r="D54" s="11"/>
    </row>
    <row r="55" spans="1:4">
      <c r="A55" s="11"/>
      <c r="B55" s="11"/>
      <c r="C55" s="11"/>
      <c r="D55" s="11"/>
    </row>
    <row r="56" spans="1:4">
      <c r="A56" s="11"/>
      <c r="B56" s="11"/>
      <c r="C56" s="11"/>
      <c r="D56" s="11"/>
    </row>
    <row r="57" spans="1:4">
      <c r="A57" s="11"/>
      <c r="B57" s="11"/>
      <c r="C57" s="11"/>
      <c r="D57" s="11"/>
    </row>
    <row r="58" spans="1:4">
      <c r="A58" s="11"/>
      <c r="B58" s="11"/>
      <c r="C58" s="11"/>
      <c r="D58" s="11"/>
    </row>
    <row r="59" spans="1:4">
      <c r="A59" s="11"/>
      <c r="B59" s="11"/>
      <c r="C59" s="11"/>
      <c r="D59" s="11"/>
    </row>
    <row r="60" spans="1:4">
      <c r="A60" s="11"/>
      <c r="B60" s="11"/>
      <c r="C60" s="11"/>
      <c r="D60" s="11"/>
    </row>
    <row r="61" spans="1:4">
      <c r="A61" s="11"/>
      <c r="B61" s="11"/>
      <c r="C61" s="11"/>
      <c r="D61" s="11"/>
    </row>
    <row r="62" spans="1:4">
      <c r="A62" s="11"/>
      <c r="B62" s="11"/>
      <c r="C62" s="11"/>
      <c r="D62" s="11"/>
    </row>
    <row r="63" spans="1:4">
      <c r="A63" s="11"/>
      <c r="B63" s="11"/>
      <c r="C63" s="11"/>
      <c r="D63" s="11"/>
    </row>
    <row r="64" spans="1:4">
      <c r="A64" s="11"/>
      <c r="B64" s="11"/>
      <c r="C64" s="11"/>
      <c r="D64" s="11"/>
    </row>
    <row r="65" spans="1:4">
      <c r="A65" s="11"/>
      <c r="B65" s="11"/>
      <c r="C65" s="11"/>
      <c r="D65" s="11"/>
    </row>
    <row r="66" spans="1:4">
      <c r="A66" s="11"/>
      <c r="B66" s="11"/>
      <c r="C66" s="11"/>
      <c r="D66" s="11"/>
    </row>
    <row r="67" spans="1:4">
      <c r="A67" s="11"/>
      <c r="B67" s="11"/>
      <c r="C67" s="11"/>
      <c r="D67" s="11"/>
    </row>
    <row r="68" spans="1:4">
      <c r="A68" s="11"/>
      <c r="B68" s="11"/>
      <c r="C68" s="11"/>
      <c r="D68" s="11"/>
    </row>
    <row r="69" spans="1:4">
      <c r="A69" s="11"/>
      <c r="B69" s="11"/>
      <c r="C69" s="11"/>
      <c r="D69" s="11"/>
    </row>
    <row r="70" spans="1:4">
      <c r="A70" s="11"/>
      <c r="B70" s="11"/>
      <c r="C70" s="11"/>
      <c r="D70" s="11"/>
    </row>
    <row r="71" spans="1:4">
      <c r="A71" s="11"/>
      <c r="B71" s="11"/>
      <c r="C71" s="11"/>
      <c r="D71" s="11"/>
    </row>
    <row r="72" spans="1:4">
      <c r="A72" s="11"/>
      <c r="B72" s="11"/>
      <c r="C72" s="11"/>
      <c r="D72" s="11"/>
    </row>
    <row r="73" spans="1:4">
      <c r="A73" s="11"/>
      <c r="B73" s="11"/>
      <c r="C73" s="11"/>
      <c r="D73" s="11"/>
    </row>
    <row r="74" spans="1:4">
      <c r="A74" s="11"/>
      <c r="B74" s="11"/>
      <c r="C74" s="11"/>
      <c r="D74" s="11"/>
    </row>
    <row r="75" spans="1:4">
      <c r="A75" s="11"/>
      <c r="B75" s="11"/>
      <c r="C75" s="11"/>
      <c r="D75" s="11"/>
    </row>
    <row r="76" spans="1:4">
      <c r="A76" s="11"/>
      <c r="B76" s="11"/>
      <c r="C76" s="11"/>
      <c r="D76" s="11"/>
    </row>
    <row r="77" spans="1:4">
      <c r="A77" s="11"/>
      <c r="B77" s="11"/>
      <c r="C77" s="11"/>
      <c r="D77" s="11"/>
    </row>
    <row r="78" spans="1:4">
      <c r="A78" s="11"/>
      <c r="B78" s="11"/>
      <c r="C78" s="11"/>
      <c r="D78" s="11"/>
    </row>
    <row r="79" spans="1:4">
      <c r="A79" s="11"/>
      <c r="B79" s="11"/>
      <c r="C79" s="11"/>
      <c r="D79" s="11"/>
    </row>
    <row r="80" spans="1:4">
      <c r="A80" s="11"/>
      <c r="B80" s="11"/>
      <c r="C80" s="11"/>
      <c r="D80" s="11"/>
    </row>
    <row r="81" spans="1:4">
      <c r="A81" s="11"/>
      <c r="B81" s="11"/>
      <c r="C81" s="11"/>
      <c r="D81" s="11"/>
    </row>
    <row r="82" spans="1:4">
      <c r="A82" s="11"/>
      <c r="B82" s="11"/>
      <c r="C82" s="11"/>
      <c r="D82" s="11"/>
    </row>
    <row r="83" spans="1:4">
      <c r="A83" s="11"/>
      <c r="B83" s="11"/>
      <c r="C83" s="11"/>
      <c r="D83" s="11"/>
    </row>
    <row r="84" spans="1:4">
      <c r="A84" s="11"/>
      <c r="B84" s="11"/>
      <c r="C84" s="11"/>
      <c r="D84" s="11"/>
    </row>
    <row r="85" spans="1:4">
      <c r="A85" s="11"/>
      <c r="B85" s="11"/>
      <c r="C85" s="11"/>
      <c r="D85" s="11"/>
    </row>
    <row r="86" spans="1:4">
      <c r="A86" s="11"/>
      <c r="B86" s="11"/>
      <c r="C86" s="11"/>
      <c r="D86" s="11"/>
    </row>
    <row r="87" spans="1:4">
      <c r="A87" s="11"/>
      <c r="B87" s="11"/>
      <c r="C87" s="11"/>
      <c r="D87" s="11"/>
    </row>
    <row r="88" spans="1:4">
      <c r="A88" s="11"/>
      <c r="B88" s="11"/>
      <c r="C88" s="11"/>
      <c r="D88" s="11"/>
    </row>
    <row r="89" spans="1:4">
      <c r="A89" s="11"/>
      <c r="B89" s="11"/>
      <c r="C89" s="11"/>
      <c r="D89" s="11"/>
    </row>
    <row r="90" spans="1:4">
      <c r="A90" s="11"/>
      <c r="B90" s="11"/>
      <c r="C90" s="11"/>
      <c r="D90" s="11"/>
    </row>
    <row r="91" spans="1:4">
      <c r="A91" s="11"/>
      <c r="B91" s="11"/>
      <c r="C91" s="11"/>
      <c r="D91" s="11"/>
    </row>
    <row r="92" spans="1:4">
      <c r="A92" s="11"/>
      <c r="B92" s="11"/>
      <c r="C92" s="11"/>
      <c r="D92" s="11"/>
    </row>
    <row r="93" spans="1:4">
      <c r="A93" s="11"/>
      <c r="B93" s="11"/>
      <c r="C93" s="11"/>
      <c r="D93" s="11"/>
    </row>
    <row r="94" spans="1:4">
      <c r="A94" s="11"/>
      <c r="B94" s="11"/>
      <c r="C94" s="11"/>
      <c r="D94" s="11"/>
    </row>
    <row r="95" spans="1:4">
      <c r="A95" s="11"/>
      <c r="B95" s="11"/>
      <c r="C95" s="11"/>
      <c r="D95" s="11"/>
    </row>
    <row r="96" spans="1:4">
      <c r="A96" s="11"/>
      <c r="B96" s="11"/>
      <c r="C96" s="11"/>
      <c r="D96" s="11"/>
    </row>
    <row r="97" spans="1:4">
      <c r="A97" s="11"/>
      <c r="B97" s="11"/>
      <c r="C97" s="11"/>
      <c r="D97" s="11"/>
    </row>
    <row r="98" spans="1:4">
      <c r="A98" s="11"/>
      <c r="B98" s="11"/>
      <c r="C98" s="11"/>
      <c r="D98" s="11"/>
    </row>
    <row r="99" spans="1:4">
      <c r="A99" s="11"/>
      <c r="B99" s="11"/>
      <c r="C99" s="11"/>
      <c r="D99" s="11"/>
    </row>
    <row r="100" spans="1:4">
      <c r="A100" s="11"/>
      <c r="B100" s="11"/>
      <c r="C100" s="11"/>
      <c r="D100" s="11"/>
    </row>
    <row r="101" spans="1:4">
      <c r="A101" s="11"/>
      <c r="B101" s="11"/>
      <c r="C101" s="11"/>
      <c r="D101" s="11"/>
    </row>
    <row r="102" spans="1:4">
      <c r="A102" s="11"/>
      <c r="B102" s="11"/>
      <c r="C102" s="11"/>
      <c r="D102" s="11"/>
    </row>
    <row r="103" spans="1:4">
      <c r="A103" s="11"/>
      <c r="B103" s="11"/>
      <c r="C103" s="11"/>
      <c r="D103" s="11"/>
    </row>
    <row r="104" spans="1:4">
      <c r="A104" s="11"/>
      <c r="B104" s="11"/>
      <c r="C104" s="11"/>
      <c r="D104" s="11"/>
    </row>
    <row r="105" spans="1:4">
      <c r="A105" s="11"/>
      <c r="B105" s="11"/>
      <c r="C105" s="11"/>
      <c r="D105" s="11"/>
    </row>
    <row r="106" spans="1:4">
      <c r="A106" s="11"/>
      <c r="B106" s="11"/>
      <c r="C106" s="11"/>
      <c r="D106" s="11"/>
    </row>
    <row r="107" spans="1:4">
      <c r="A107" s="11"/>
      <c r="B107" s="11"/>
      <c r="C107" s="11"/>
      <c r="D107" s="11"/>
    </row>
    <row r="108" spans="1:4">
      <c r="A108" s="11"/>
      <c r="B108" s="11"/>
      <c r="C108" s="11"/>
      <c r="D108" s="11"/>
    </row>
    <row r="109" spans="1:4">
      <c r="A109" s="11"/>
      <c r="B109" s="11"/>
      <c r="C109" s="11"/>
      <c r="D109" s="11"/>
    </row>
    <row r="110" spans="1:4">
      <c r="A110" s="11"/>
      <c r="B110" s="11"/>
      <c r="C110" s="11"/>
      <c r="D110" s="11"/>
    </row>
    <row r="111" spans="1:4">
      <c r="A111" s="11"/>
      <c r="B111" s="11"/>
      <c r="C111" s="11"/>
      <c r="D111" s="11"/>
    </row>
    <row r="112" spans="1:4">
      <c r="A112" s="11"/>
      <c r="B112" s="11"/>
      <c r="C112" s="11"/>
      <c r="D112" s="11"/>
    </row>
    <row r="113" spans="1:4">
      <c r="A113" s="11"/>
      <c r="B113" s="11"/>
      <c r="C113" s="11"/>
      <c r="D113" s="11"/>
    </row>
    <row r="114" spans="1:4">
      <c r="A114" s="11"/>
      <c r="B114" s="11"/>
      <c r="C114" s="11"/>
      <c r="D114" s="11"/>
    </row>
    <row r="115" spans="1:4">
      <c r="A115" s="11"/>
      <c r="B115" s="11"/>
      <c r="C115" s="11"/>
      <c r="D115" s="11"/>
    </row>
    <row r="116" spans="1:4">
      <c r="A116" s="11"/>
      <c r="B116" s="11"/>
      <c r="C116" s="11"/>
      <c r="D116" s="11"/>
    </row>
    <row r="117" spans="1:4">
      <c r="A117" s="11"/>
      <c r="B117" s="11"/>
      <c r="C117" s="11"/>
      <c r="D117" s="11"/>
    </row>
    <row r="118" spans="1:4">
      <c r="A118" s="11"/>
      <c r="B118" s="11"/>
      <c r="C118" s="11"/>
      <c r="D118" s="11"/>
    </row>
    <row r="119" spans="1:4">
      <c r="A119" s="11"/>
      <c r="B119" s="11"/>
      <c r="C119" s="11"/>
      <c r="D119" s="11"/>
    </row>
    <row r="120" spans="1:4">
      <c r="A120" s="11"/>
      <c r="B120" s="11"/>
      <c r="C120" s="11"/>
      <c r="D120" s="11"/>
    </row>
    <row r="121" spans="1:4">
      <c r="A121" s="11"/>
      <c r="B121" s="11"/>
      <c r="C121" s="11"/>
      <c r="D121" s="11"/>
    </row>
    <row r="122" spans="1:4">
      <c r="A122" s="11"/>
      <c r="B122" s="11"/>
      <c r="C122" s="11"/>
      <c r="D122" s="11"/>
    </row>
    <row r="123" spans="1:4">
      <c r="A123" s="11"/>
      <c r="B123" s="11"/>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row r="158" spans="1:4">
      <c r="A158" s="11"/>
      <c r="B158" s="11"/>
      <c r="C158" s="11"/>
      <c r="D158" s="11"/>
    </row>
    <row r="159" spans="1:4">
      <c r="A159" s="11"/>
      <c r="B159" s="11"/>
      <c r="C159" s="11"/>
      <c r="D159" s="11"/>
    </row>
    <row r="160" spans="1:4">
      <c r="A160" s="11"/>
      <c r="B160" s="11"/>
      <c r="C160" s="11"/>
      <c r="D160" s="11"/>
    </row>
    <row r="161" spans="1:4">
      <c r="A161" s="11"/>
      <c r="B161" s="11"/>
      <c r="C161" s="11"/>
      <c r="D161" s="11"/>
    </row>
    <row r="162" spans="1:4">
      <c r="A162" s="11"/>
      <c r="B162" s="11"/>
      <c r="C162" s="11"/>
      <c r="D162" s="11"/>
    </row>
    <row r="163" spans="1:4">
      <c r="A163" s="11"/>
      <c r="B163" s="11"/>
      <c r="C163" s="11"/>
      <c r="D163" s="11"/>
    </row>
    <row r="164" spans="1:4">
      <c r="A164" s="11"/>
      <c r="B164" s="11"/>
      <c r="C164" s="11"/>
      <c r="D164" s="11"/>
    </row>
    <row r="165" spans="1:4">
      <c r="A165" s="11"/>
      <c r="B165" s="11"/>
      <c r="C165" s="11"/>
      <c r="D165" s="11"/>
    </row>
    <row r="166" spans="1:4">
      <c r="A166" s="11"/>
      <c r="B166" s="11"/>
      <c r="C166" s="11"/>
      <c r="D166" s="11"/>
    </row>
    <row r="167" spans="1:4">
      <c r="A167" s="11"/>
      <c r="B167" s="11"/>
      <c r="C167" s="11"/>
      <c r="D167" s="11"/>
    </row>
    <row r="168" spans="1:4">
      <c r="A168" s="11"/>
      <c r="B168" s="11"/>
      <c r="C168" s="11"/>
      <c r="D168" s="11"/>
    </row>
    <row r="169" spans="1:4">
      <c r="A169" s="11"/>
      <c r="B169" s="11"/>
      <c r="C169" s="11"/>
      <c r="D169" s="11"/>
    </row>
    <row r="170" spans="1:4">
      <c r="A170" s="11"/>
      <c r="B170" s="11"/>
      <c r="C170" s="11"/>
      <c r="D170" s="11"/>
    </row>
    <row r="171" spans="1:4">
      <c r="A171" s="11"/>
      <c r="B171" s="11"/>
      <c r="C171" s="11"/>
      <c r="D171" s="11"/>
    </row>
    <row r="172" spans="1:4">
      <c r="A172" s="11"/>
      <c r="B172" s="11"/>
      <c r="C172" s="11"/>
      <c r="D172" s="11"/>
    </row>
    <row r="173" spans="1:4">
      <c r="A173" s="11"/>
      <c r="B173" s="11"/>
      <c r="C173" s="11"/>
      <c r="D173" s="11"/>
    </row>
    <row r="174" spans="1:4">
      <c r="A174" s="11"/>
      <c r="B174" s="11"/>
      <c r="C174" s="11"/>
      <c r="D174" s="11"/>
    </row>
    <row r="175" spans="1:4">
      <c r="A175" s="11"/>
      <c r="B175" s="11"/>
      <c r="C175" s="11"/>
      <c r="D175" s="11"/>
    </row>
    <row r="176" spans="1:4">
      <c r="A176" s="11"/>
      <c r="B176" s="11"/>
      <c r="C176" s="11"/>
      <c r="D176" s="11"/>
    </row>
    <row r="177" spans="1:4">
      <c r="A177" s="11"/>
      <c r="B177" s="11"/>
      <c r="C177" s="11"/>
      <c r="D177" s="11"/>
    </row>
    <row r="178" spans="1:4">
      <c r="A178" s="11"/>
      <c r="B178" s="11"/>
      <c r="C178" s="11"/>
      <c r="D178" s="11"/>
    </row>
    <row r="179" spans="1:4">
      <c r="A179" s="11"/>
      <c r="B179" s="11"/>
      <c r="C179" s="11"/>
      <c r="D179" s="11"/>
    </row>
    <row r="180" spans="1:4">
      <c r="A180" s="11"/>
      <c r="B180" s="11"/>
      <c r="C180" s="11"/>
      <c r="D180" s="11"/>
    </row>
    <row r="181" spans="1:4">
      <c r="A181" s="11"/>
      <c r="B181" s="11"/>
      <c r="C181" s="11"/>
      <c r="D181" s="11"/>
    </row>
    <row r="182" spans="1:4">
      <c r="A182" s="11"/>
      <c r="B182" s="11"/>
      <c r="C182" s="11"/>
      <c r="D182" s="11"/>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election activeCell="A7" sqref="A7"/>
    </sheetView>
  </sheetViews>
  <sheetFormatPr baseColWidth="10" defaultRowHeight="13" x14ac:dyDescent="0"/>
  <cols>
    <col min="1" max="1" width="15.140625" style="3" customWidth="1"/>
    <col min="2" max="3" width="5.7109375" style="3" customWidth="1"/>
    <col min="4" max="15" width="10.7109375" style="3"/>
  </cols>
  <sheetData>
    <row r="1" spans="1:16">
      <c r="A1" s="184" t="s">
        <v>2404</v>
      </c>
    </row>
    <row r="2" spans="1:16">
      <c r="A2" s="1" t="s">
        <v>614</v>
      </c>
      <c r="B2" s="1"/>
      <c r="C2" s="1"/>
      <c r="D2" s="1"/>
      <c r="E2" s="1" t="s">
        <v>1001</v>
      </c>
      <c r="F2" s="1" t="s">
        <v>1001</v>
      </c>
      <c r="G2" s="1" t="s">
        <v>1001</v>
      </c>
      <c r="H2" s="1" t="s">
        <v>1001</v>
      </c>
      <c r="I2" s="1" t="s">
        <v>1001</v>
      </c>
      <c r="J2" s="1" t="s">
        <v>1001</v>
      </c>
      <c r="K2" s="1" t="s">
        <v>1001</v>
      </c>
      <c r="L2" s="20" t="s">
        <v>1001</v>
      </c>
      <c r="M2" s="20" t="s">
        <v>1001</v>
      </c>
      <c r="N2" s="20" t="s">
        <v>1001</v>
      </c>
      <c r="O2" s="20" t="s">
        <v>1001</v>
      </c>
    </row>
    <row r="3" spans="1:16">
      <c r="A3" s="1" t="s">
        <v>518</v>
      </c>
      <c r="B3" s="1"/>
      <c r="C3" s="1"/>
      <c r="D3" s="1"/>
      <c r="E3" s="1" t="s">
        <v>1277</v>
      </c>
      <c r="F3" s="1" t="s">
        <v>1277</v>
      </c>
      <c r="G3" s="1" t="s">
        <v>1278</v>
      </c>
      <c r="H3" s="1" t="s">
        <v>1278</v>
      </c>
      <c r="I3" s="1" t="s">
        <v>1279</v>
      </c>
      <c r="J3" s="1" t="s">
        <v>1279</v>
      </c>
      <c r="K3" s="1" t="s">
        <v>1279</v>
      </c>
      <c r="L3" s="1" t="s">
        <v>1280</v>
      </c>
      <c r="M3" s="1" t="s">
        <v>1280</v>
      </c>
      <c r="N3" s="1" t="s">
        <v>1280</v>
      </c>
      <c r="O3" s="1" t="s">
        <v>1280</v>
      </c>
      <c r="P3" s="1" t="s">
        <v>1280</v>
      </c>
    </row>
    <row r="4" spans="1:16">
      <c r="A4" s="1" t="s">
        <v>736</v>
      </c>
      <c r="B4" s="1"/>
      <c r="C4" s="1"/>
      <c r="D4" s="1"/>
      <c r="E4" s="1"/>
      <c r="F4" s="1"/>
      <c r="G4" s="1"/>
      <c r="H4" s="1"/>
      <c r="I4" s="1" t="s">
        <v>1103</v>
      </c>
      <c r="J4" s="1" t="s">
        <v>1174</v>
      </c>
      <c r="K4" s="1" t="s">
        <v>1086</v>
      </c>
      <c r="L4" s="1"/>
      <c r="M4" s="1"/>
      <c r="N4" s="20"/>
      <c r="O4" s="20"/>
    </row>
    <row r="5" spans="1:16">
      <c r="A5" s="1" t="s">
        <v>737</v>
      </c>
      <c r="B5" s="1"/>
      <c r="C5" s="1"/>
      <c r="D5" s="1"/>
      <c r="E5" s="1" t="s">
        <v>1022</v>
      </c>
      <c r="F5" s="1" t="s">
        <v>1022</v>
      </c>
      <c r="G5" s="18" t="s">
        <v>1091</v>
      </c>
      <c r="H5" s="18" t="s">
        <v>1091</v>
      </c>
      <c r="I5" s="18" t="s">
        <v>1091</v>
      </c>
      <c r="J5" s="18" t="s">
        <v>1091</v>
      </c>
      <c r="K5" s="18" t="s">
        <v>1091</v>
      </c>
      <c r="L5" s="18" t="s">
        <v>1091</v>
      </c>
      <c r="M5" s="18" t="s">
        <v>1091</v>
      </c>
      <c r="N5" s="20" t="s">
        <v>463</v>
      </c>
      <c r="O5" s="18" t="s">
        <v>1091</v>
      </c>
    </row>
    <row r="6" spans="1:16">
      <c r="A6" s="42" t="s">
        <v>560</v>
      </c>
      <c r="B6" s="42"/>
      <c r="C6" s="42"/>
      <c r="D6" s="42"/>
      <c r="E6" s="42">
        <v>1960</v>
      </c>
      <c r="F6" s="42">
        <v>1991</v>
      </c>
      <c r="G6" s="42">
        <v>1991</v>
      </c>
      <c r="H6" s="42">
        <v>2001</v>
      </c>
      <c r="I6" s="42">
        <v>1997</v>
      </c>
      <c r="J6" s="42">
        <v>1997</v>
      </c>
      <c r="K6" s="42">
        <v>1997</v>
      </c>
      <c r="L6" s="42">
        <v>1980</v>
      </c>
      <c r="M6" s="42">
        <v>1991</v>
      </c>
      <c r="N6" s="42">
        <v>1996</v>
      </c>
      <c r="O6" s="42">
        <v>2001</v>
      </c>
    </row>
    <row r="7" spans="1:16" ht="77">
      <c r="A7" s="7" t="s">
        <v>3334</v>
      </c>
      <c r="B7" s="1"/>
      <c r="C7" s="1"/>
      <c r="D7" s="1"/>
      <c r="E7" s="1" t="s">
        <v>970</v>
      </c>
      <c r="F7" s="1" t="s">
        <v>1031</v>
      </c>
      <c r="G7" s="1" t="s">
        <v>1032</v>
      </c>
      <c r="H7" s="1" t="s">
        <v>1033</v>
      </c>
      <c r="I7" s="1" t="s">
        <v>1034</v>
      </c>
      <c r="J7" s="1" t="s">
        <v>1035</v>
      </c>
      <c r="K7" s="1" t="s">
        <v>1036</v>
      </c>
      <c r="L7" s="20" t="s">
        <v>1037</v>
      </c>
      <c r="M7" s="20" t="s">
        <v>1038</v>
      </c>
      <c r="N7" s="20" t="s">
        <v>1039</v>
      </c>
      <c r="O7" s="20" t="s">
        <v>1259</v>
      </c>
      <c r="P7" s="20" t="s">
        <v>2634</v>
      </c>
    </row>
    <row r="8" spans="1:16">
      <c r="A8" s="9" t="s">
        <v>572</v>
      </c>
      <c r="B8" s="9" t="s">
        <v>770</v>
      </c>
      <c r="C8" s="9" t="s">
        <v>771</v>
      </c>
      <c r="D8" s="9" t="s">
        <v>772</v>
      </c>
      <c r="E8" s="9" t="s">
        <v>1109</v>
      </c>
      <c r="F8" s="9" t="s">
        <v>1110</v>
      </c>
      <c r="G8" s="9" t="s">
        <v>1111</v>
      </c>
      <c r="H8" s="9" t="s">
        <v>1112</v>
      </c>
      <c r="I8" s="9" t="s">
        <v>1100</v>
      </c>
      <c r="J8" s="9" t="s">
        <v>1208</v>
      </c>
      <c r="K8" s="9" t="s">
        <v>1195</v>
      </c>
      <c r="L8" s="9" t="s">
        <v>1253</v>
      </c>
      <c r="M8" s="9" t="s">
        <v>1254</v>
      </c>
      <c r="N8" s="23" t="s">
        <v>1255</v>
      </c>
      <c r="O8" s="23" t="s">
        <v>1199</v>
      </c>
      <c r="P8" s="23" t="s">
        <v>2635</v>
      </c>
    </row>
    <row r="9" spans="1:16">
      <c r="A9" s="3" t="s">
        <v>850</v>
      </c>
      <c r="B9" s="3" t="s">
        <v>851</v>
      </c>
      <c r="C9" s="3">
        <v>1</v>
      </c>
      <c r="D9" s="3" t="s">
        <v>759</v>
      </c>
      <c r="E9" s="27">
        <v>4.58</v>
      </c>
      <c r="F9" s="11">
        <v>8.02</v>
      </c>
      <c r="G9" s="30">
        <v>60.2</v>
      </c>
      <c r="H9" s="30">
        <v>74.900000000000006</v>
      </c>
      <c r="I9" s="30">
        <v>68.8</v>
      </c>
      <c r="J9" s="30">
        <v>66.900000000000006</v>
      </c>
      <c r="K9" s="30">
        <v>67.900000000000006</v>
      </c>
      <c r="L9" s="30">
        <v>4</v>
      </c>
      <c r="M9" s="30">
        <v>2.5</v>
      </c>
      <c r="N9" s="72">
        <v>2.1</v>
      </c>
      <c r="O9" s="30">
        <v>1.6</v>
      </c>
      <c r="P9" s="45">
        <v>1.3723000000000001</v>
      </c>
    </row>
    <row r="10" spans="1:16">
      <c r="A10" s="3" t="s">
        <v>667</v>
      </c>
      <c r="B10" s="3" t="s">
        <v>668</v>
      </c>
      <c r="C10" s="3">
        <v>2</v>
      </c>
      <c r="D10" s="3" t="s">
        <v>759</v>
      </c>
      <c r="E10" s="27">
        <v>5.58</v>
      </c>
      <c r="F10" s="11">
        <v>10.41</v>
      </c>
      <c r="G10" s="30">
        <v>82</v>
      </c>
      <c r="H10" s="30">
        <v>81.400000000000006</v>
      </c>
      <c r="I10" s="30">
        <v>71.8</v>
      </c>
      <c r="J10" s="30">
        <v>67.3</v>
      </c>
      <c r="K10" s="30">
        <v>69.5</v>
      </c>
      <c r="L10" s="30">
        <v>1.5</v>
      </c>
      <c r="M10" s="30">
        <v>0.7</v>
      </c>
      <c r="N10" s="72">
        <v>0.4</v>
      </c>
      <c r="O10" s="30">
        <v>0.5</v>
      </c>
      <c r="P10" s="45">
        <v>0.48299999999999998</v>
      </c>
    </row>
    <row r="11" spans="1:16">
      <c r="A11" s="3" t="s">
        <v>669</v>
      </c>
      <c r="B11" s="3" t="s">
        <v>663</v>
      </c>
      <c r="C11" s="3">
        <v>3</v>
      </c>
      <c r="D11" s="3" t="s">
        <v>664</v>
      </c>
      <c r="E11" s="27">
        <v>4</v>
      </c>
      <c r="F11" s="11">
        <v>7.93</v>
      </c>
      <c r="G11" s="30">
        <v>54.8</v>
      </c>
      <c r="H11" s="30">
        <v>66.900000000000006</v>
      </c>
      <c r="I11" s="30">
        <v>52.7</v>
      </c>
      <c r="J11" s="30">
        <v>47.7</v>
      </c>
      <c r="K11" s="30">
        <v>50.2</v>
      </c>
      <c r="L11" s="30">
        <v>8.6</v>
      </c>
      <c r="M11" s="30">
        <v>4.9000000000000004</v>
      </c>
      <c r="N11" s="72">
        <v>4.4000000000000004</v>
      </c>
      <c r="O11" s="30">
        <v>2.9</v>
      </c>
      <c r="P11" s="45">
        <v>2.0175000000000001</v>
      </c>
    </row>
    <row r="12" spans="1:16">
      <c r="A12" s="3" t="s">
        <v>665</v>
      </c>
      <c r="B12" s="3" t="s">
        <v>640</v>
      </c>
      <c r="C12" s="3">
        <v>4</v>
      </c>
      <c r="D12" s="3" t="s">
        <v>641</v>
      </c>
      <c r="E12" s="27">
        <v>3.4</v>
      </c>
      <c r="F12" s="11">
        <v>6.64</v>
      </c>
      <c r="G12" s="30">
        <v>41.3</v>
      </c>
      <c r="H12" s="30">
        <v>52.3</v>
      </c>
      <c r="I12" s="30">
        <v>54.7</v>
      </c>
      <c r="J12" s="30">
        <v>49.9</v>
      </c>
      <c r="K12" s="30">
        <v>52.3</v>
      </c>
      <c r="L12" s="30">
        <v>17.7</v>
      </c>
      <c r="M12" s="30">
        <v>12.3</v>
      </c>
      <c r="N12" s="72">
        <v>11.4</v>
      </c>
      <c r="O12" s="30">
        <v>8</v>
      </c>
      <c r="P12" s="45">
        <v>5.4801000000000002</v>
      </c>
    </row>
    <row r="13" spans="1:16">
      <c r="A13" s="3" t="s">
        <v>539</v>
      </c>
      <c r="B13" s="3" t="s">
        <v>540</v>
      </c>
      <c r="C13" s="3">
        <v>5</v>
      </c>
      <c r="D13" s="3" t="s">
        <v>541</v>
      </c>
      <c r="E13" s="27">
        <v>4.12</v>
      </c>
      <c r="F13" s="11">
        <v>7.88</v>
      </c>
      <c r="G13" s="30">
        <v>61.2</v>
      </c>
      <c r="H13" s="30">
        <v>71.3</v>
      </c>
      <c r="I13" s="30">
        <v>62.7</v>
      </c>
      <c r="J13" s="30">
        <v>56.8</v>
      </c>
      <c r="K13" s="30">
        <v>59.8</v>
      </c>
      <c r="L13" s="30">
        <v>8.1999999999999993</v>
      </c>
      <c r="M13" s="30">
        <v>5</v>
      </c>
      <c r="N13" s="72">
        <v>4.5</v>
      </c>
      <c r="O13" s="30">
        <v>3.1</v>
      </c>
      <c r="P13" s="45">
        <v>1.9789000000000001</v>
      </c>
    </row>
    <row r="14" spans="1:16">
      <c r="A14" s="3" t="s">
        <v>542</v>
      </c>
      <c r="B14" s="3" t="s">
        <v>543</v>
      </c>
      <c r="C14" s="3">
        <v>6</v>
      </c>
      <c r="D14" s="3" t="s">
        <v>759</v>
      </c>
      <c r="E14" s="27">
        <v>4.3899999999999997</v>
      </c>
      <c r="F14" s="11">
        <v>8.2100000000000009</v>
      </c>
      <c r="G14" s="30">
        <v>64.5</v>
      </c>
      <c r="H14" s="30">
        <v>64.599999999999994</v>
      </c>
      <c r="I14" s="30">
        <v>64.400000000000006</v>
      </c>
      <c r="J14" s="30">
        <v>61.4</v>
      </c>
      <c r="K14" s="30">
        <v>62.9</v>
      </c>
      <c r="L14" s="30">
        <v>5.6</v>
      </c>
      <c r="M14" s="30">
        <v>3.5</v>
      </c>
      <c r="N14" s="72">
        <v>3</v>
      </c>
      <c r="O14" s="30">
        <v>2.1</v>
      </c>
      <c r="P14" s="45">
        <v>1.4666999999999999</v>
      </c>
    </row>
    <row r="15" spans="1:16">
      <c r="A15" s="3" t="s">
        <v>628</v>
      </c>
      <c r="B15" s="3" t="s">
        <v>629</v>
      </c>
      <c r="C15" s="3">
        <v>7</v>
      </c>
      <c r="D15" s="3" t="s">
        <v>641</v>
      </c>
      <c r="E15" s="27">
        <v>3.57</v>
      </c>
      <c r="F15" s="11">
        <v>7.2</v>
      </c>
      <c r="G15" s="30">
        <v>44.5</v>
      </c>
      <c r="H15" s="30">
        <v>54.3</v>
      </c>
      <c r="I15" s="30">
        <v>57.2</v>
      </c>
      <c r="J15" s="30">
        <v>55.2</v>
      </c>
      <c r="K15" s="30">
        <v>56.2</v>
      </c>
      <c r="L15" s="30">
        <v>15.9</v>
      </c>
      <c r="M15" s="30">
        <v>10.3</v>
      </c>
      <c r="N15" s="72">
        <v>9.5</v>
      </c>
      <c r="O15" s="30">
        <v>6.5</v>
      </c>
      <c r="P15" s="45">
        <v>4.2770999999999999</v>
      </c>
    </row>
    <row r="16" spans="1:16">
      <c r="A16" s="3" t="s">
        <v>630</v>
      </c>
      <c r="B16" s="3" t="s">
        <v>631</v>
      </c>
      <c r="C16" s="3">
        <v>8</v>
      </c>
      <c r="D16" s="3" t="s">
        <v>759</v>
      </c>
      <c r="E16" s="27"/>
      <c r="F16" s="11">
        <v>7.53</v>
      </c>
      <c r="G16" s="30">
        <v>56.9</v>
      </c>
      <c r="H16" s="30">
        <v>64</v>
      </c>
      <c r="I16" s="30">
        <v>65.8</v>
      </c>
      <c r="J16" s="30">
        <v>60</v>
      </c>
      <c r="K16" s="30">
        <v>62.9</v>
      </c>
      <c r="L16" s="30">
        <v>8.3000000000000007</v>
      </c>
      <c r="M16" s="30">
        <v>5.4</v>
      </c>
      <c r="N16" s="72">
        <v>4.8</v>
      </c>
      <c r="O16" s="30">
        <v>3.1</v>
      </c>
      <c r="P16" s="45">
        <v>2.1322999999999999</v>
      </c>
    </row>
    <row r="17" spans="1:16">
      <c r="A17" s="3" t="s">
        <v>632</v>
      </c>
      <c r="B17" s="3" t="s">
        <v>633</v>
      </c>
      <c r="C17" s="3">
        <v>9</v>
      </c>
      <c r="D17" s="3" t="s">
        <v>641</v>
      </c>
      <c r="E17" s="27">
        <v>3.44</v>
      </c>
      <c r="F17" s="11">
        <v>6.88</v>
      </c>
      <c r="G17" s="30">
        <v>48.5</v>
      </c>
      <c r="H17" s="30">
        <v>57.1</v>
      </c>
      <c r="I17" s="30">
        <v>54.2</v>
      </c>
      <c r="J17" s="30">
        <v>50.2</v>
      </c>
      <c r="K17" s="30">
        <v>52.2</v>
      </c>
      <c r="L17" s="30">
        <v>13.7</v>
      </c>
      <c r="M17" s="30">
        <v>9.3000000000000007</v>
      </c>
      <c r="N17" s="72">
        <v>8.4</v>
      </c>
      <c r="O17" s="30">
        <v>6</v>
      </c>
      <c r="P17" s="45">
        <v>4.0899000000000001</v>
      </c>
    </row>
    <row r="18" spans="1:16">
      <c r="A18" s="3" t="s">
        <v>634</v>
      </c>
      <c r="B18" s="3" t="s">
        <v>715</v>
      </c>
      <c r="C18" s="3">
        <v>10</v>
      </c>
      <c r="D18" s="3" t="s">
        <v>664</v>
      </c>
      <c r="E18" s="27">
        <v>3.46</v>
      </c>
      <c r="F18" s="11">
        <v>7.31</v>
      </c>
      <c r="G18" s="30">
        <v>60.8</v>
      </c>
      <c r="H18" s="30">
        <v>68.099999999999994</v>
      </c>
      <c r="I18" s="30">
        <v>57.1</v>
      </c>
      <c r="J18" s="30">
        <v>56.6</v>
      </c>
      <c r="K18" s="30">
        <v>56.9</v>
      </c>
      <c r="L18" s="30">
        <v>13.4</v>
      </c>
      <c r="M18" s="30">
        <v>7.9</v>
      </c>
      <c r="N18" s="72">
        <v>7.1</v>
      </c>
      <c r="O18" s="30">
        <v>4.7</v>
      </c>
      <c r="P18" s="45">
        <v>3.1332</v>
      </c>
    </row>
    <row r="19" spans="1:16">
      <c r="A19" s="3" t="s">
        <v>716</v>
      </c>
      <c r="B19" s="3" t="s">
        <v>717</v>
      </c>
      <c r="C19" s="3">
        <v>11</v>
      </c>
      <c r="D19" s="3" t="s">
        <v>541</v>
      </c>
      <c r="E19" s="27">
        <v>3.97</v>
      </c>
      <c r="F19" s="11">
        <v>7.47</v>
      </c>
      <c r="G19" s="30">
        <v>59.8</v>
      </c>
      <c r="H19" s="30">
        <v>70.099999999999994</v>
      </c>
      <c r="I19" s="30">
        <v>67</v>
      </c>
      <c r="J19" s="30">
        <v>62.2</v>
      </c>
      <c r="K19" s="30">
        <v>64.599999999999994</v>
      </c>
      <c r="L19" s="30">
        <v>6.7</v>
      </c>
      <c r="M19" s="30">
        <v>4.5</v>
      </c>
      <c r="N19" s="72">
        <v>4</v>
      </c>
      <c r="O19" s="30">
        <v>2.7</v>
      </c>
      <c r="P19" s="45">
        <v>1.8852</v>
      </c>
    </row>
    <row r="20" spans="1:16">
      <c r="A20" s="3" t="s">
        <v>718</v>
      </c>
      <c r="B20" s="3" t="s">
        <v>719</v>
      </c>
      <c r="C20" s="3">
        <v>12</v>
      </c>
      <c r="D20" s="3" t="s">
        <v>664</v>
      </c>
      <c r="E20" s="27">
        <v>4.07</v>
      </c>
      <c r="F20" s="11">
        <v>8.11</v>
      </c>
      <c r="G20" s="30">
        <v>57.4</v>
      </c>
      <c r="H20" s="30">
        <v>64.5</v>
      </c>
      <c r="I20" s="30">
        <v>50.2</v>
      </c>
      <c r="J20" s="30">
        <v>48</v>
      </c>
      <c r="K20" s="30">
        <v>49.1</v>
      </c>
      <c r="L20" s="30">
        <v>6.9</v>
      </c>
      <c r="M20" s="30">
        <v>4.3</v>
      </c>
      <c r="N20" s="72">
        <v>3.8</v>
      </c>
      <c r="O20" s="30">
        <v>2.5</v>
      </c>
      <c r="P20" s="45">
        <v>1.8273999999999999</v>
      </c>
    </row>
    <row r="21" spans="1:16">
      <c r="A21" s="3" t="s">
        <v>711</v>
      </c>
      <c r="B21" s="3" t="s">
        <v>712</v>
      </c>
      <c r="C21" s="3">
        <v>13</v>
      </c>
      <c r="D21" s="3" t="s">
        <v>713</v>
      </c>
      <c r="E21" s="27">
        <v>4.29</v>
      </c>
      <c r="F21" s="11">
        <v>7.74</v>
      </c>
      <c r="G21" s="30">
        <v>58.4</v>
      </c>
      <c r="H21" s="30">
        <v>67.3</v>
      </c>
      <c r="I21" s="30">
        <v>63.3</v>
      </c>
      <c r="J21" s="30">
        <v>64.599999999999994</v>
      </c>
      <c r="K21" s="30">
        <v>64</v>
      </c>
      <c r="L21" s="30">
        <v>7.8</v>
      </c>
      <c r="M21" s="30">
        <v>5</v>
      </c>
      <c r="N21" s="72">
        <v>4.5</v>
      </c>
      <c r="O21" s="30">
        <v>3.2</v>
      </c>
      <c r="P21" s="45">
        <v>2.1842999999999999</v>
      </c>
    </row>
    <row r="22" spans="1:16">
      <c r="A22" s="3" t="s">
        <v>714</v>
      </c>
      <c r="B22" s="3" t="s">
        <v>530</v>
      </c>
      <c r="C22" s="3">
        <v>14</v>
      </c>
      <c r="D22" s="3" t="s">
        <v>641</v>
      </c>
      <c r="E22" s="11"/>
      <c r="F22" s="11">
        <v>6.91</v>
      </c>
      <c r="G22" s="30">
        <v>39.4</v>
      </c>
      <c r="H22" s="30">
        <v>50.2</v>
      </c>
      <c r="I22" s="30">
        <v>58.7</v>
      </c>
      <c r="J22" s="30">
        <v>55.7</v>
      </c>
      <c r="K22" s="30">
        <v>57.2</v>
      </c>
      <c r="L22" s="30">
        <v>12.9</v>
      </c>
      <c r="M22" s="30">
        <v>9.1</v>
      </c>
      <c r="N22" s="72">
        <v>8.3000000000000007</v>
      </c>
      <c r="O22" s="30">
        <v>6.2</v>
      </c>
      <c r="P22" s="45">
        <v>4.1044</v>
      </c>
    </row>
    <row r="23" spans="1:16">
      <c r="A23" s="3" t="s">
        <v>620</v>
      </c>
      <c r="B23" s="3" t="s">
        <v>621</v>
      </c>
      <c r="C23" s="3">
        <v>15</v>
      </c>
      <c r="D23" s="3" t="s">
        <v>541</v>
      </c>
      <c r="E23" s="27">
        <v>3.71</v>
      </c>
      <c r="F23" s="11">
        <v>7.99</v>
      </c>
      <c r="G23" s="30">
        <v>58.9</v>
      </c>
      <c r="H23" s="30">
        <v>65.2</v>
      </c>
      <c r="I23" s="30">
        <v>66.8</v>
      </c>
      <c r="J23" s="30">
        <v>63.4</v>
      </c>
      <c r="K23" s="30">
        <v>65.099999999999994</v>
      </c>
      <c r="L23" s="30">
        <v>10.5</v>
      </c>
      <c r="M23" s="30">
        <v>6</v>
      </c>
      <c r="N23" s="72">
        <v>5.4</v>
      </c>
      <c r="O23" s="30">
        <v>3.4</v>
      </c>
      <c r="P23" s="45">
        <v>2.2982999999999998</v>
      </c>
    </row>
    <row r="24" spans="1:16">
      <c r="A24" s="3" t="s">
        <v>622</v>
      </c>
      <c r="B24" s="3" t="s">
        <v>925</v>
      </c>
      <c r="C24" s="3">
        <v>16</v>
      </c>
      <c r="D24" s="3" t="s">
        <v>541</v>
      </c>
      <c r="E24" s="27"/>
      <c r="F24" s="11">
        <v>7.71</v>
      </c>
      <c r="G24" s="30">
        <v>57.8</v>
      </c>
      <c r="H24" s="30">
        <v>64.099999999999994</v>
      </c>
      <c r="I24" s="30">
        <v>66.599999999999994</v>
      </c>
      <c r="J24" s="30">
        <v>63.4</v>
      </c>
      <c r="K24" s="30">
        <v>65</v>
      </c>
      <c r="L24" s="30">
        <v>10.199999999999999</v>
      </c>
      <c r="M24" s="30">
        <v>6.2</v>
      </c>
      <c r="N24" s="72">
        <v>5.6</v>
      </c>
      <c r="O24" s="30">
        <v>3.8</v>
      </c>
      <c r="P24" s="45">
        <v>2.4615</v>
      </c>
    </row>
    <row r="25" spans="1:16">
      <c r="A25" s="3" t="s">
        <v>926</v>
      </c>
      <c r="B25" s="3" t="s">
        <v>927</v>
      </c>
      <c r="C25" s="3">
        <v>17</v>
      </c>
      <c r="D25" s="3" t="s">
        <v>664</v>
      </c>
      <c r="E25" s="27">
        <v>3.73</v>
      </c>
      <c r="F25" s="11">
        <v>7.51</v>
      </c>
      <c r="G25" s="30">
        <v>59.1</v>
      </c>
      <c r="H25" s="30">
        <v>65.599999999999994</v>
      </c>
      <c r="I25" s="30">
        <v>57.9</v>
      </c>
      <c r="J25" s="30">
        <v>54.1</v>
      </c>
      <c r="K25" s="30">
        <v>56</v>
      </c>
      <c r="L25" s="30">
        <v>12.4</v>
      </c>
      <c r="M25" s="30">
        <v>7.6</v>
      </c>
      <c r="N25" s="72">
        <v>6.9</v>
      </c>
      <c r="O25" s="30">
        <v>4.7</v>
      </c>
      <c r="P25" s="45">
        <v>3.1358999999999999</v>
      </c>
    </row>
    <row r="26" spans="1:16">
      <c r="A26" s="3" t="s">
        <v>928</v>
      </c>
      <c r="B26" s="3" t="s">
        <v>929</v>
      </c>
      <c r="C26" s="3">
        <v>18</v>
      </c>
      <c r="D26" s="3" t="s">
        <v>713</v>
      </c>
      <c r="E26" s="27">
        <v>4.08</v>
      </c>
      <c r="F26" s="11">
        <v>7.86</v>
      </c>
      <c r="G26" s="30">
        <v>58.4</v>
      </c>
      <c r="H26" s="30">
        <v>64.3</v>
      </c>
      <c r="I26" s="30">
        <v>58.5</v>
      </c>
      <c r="J26" s="30">
        <v>57.3</v>
      </c>
      <c r="K26" s="30">
        <v>57.9</v>
      </c>
      <c r="L26" s="30">
        <v>7.8</v>
      </c>
      <c r="M26" s="30">
        <v>4.7</v>
      </c>
      <c r="N26" s="72">
        <v>4.2</v>
      </c>
      <c r="O26" s="30">
        <v>3</v>
      </c>
      <c r="P26" s="45">
        <v>2.0907</v>
      </c>
    </row>
    <row r="27" spans="1:16">
      <c r="A27" s="3" t="s">
        <v>841</v>
      </c>
      <c r="B27" s="3" t="s">
        <v>659</v>
      </c>
      <c r="C27" s="3">
        <v>19</v>
      </c>
      <c r="D27" s="3" t="s">
        <v>713</v>
      </c>
      <c r="E27" s="27">
        <v>4.1500000000000004</v>
      </c>
      <c r="F27" s="11">
        <v>8.0299999999999994</v>
      </c>
      <c r="G27" s="30">
        <v>55.7</v>
      </c>
      <c r="H27" s="30">
        <v>62.7</v>
      </c>
      <c r="I27" s="30">
        <v>61.8</v>
      </c>
      <c r="J27" s="30">
        <v>54.9</v>
      </c>
      <c r="K27" s="30">
        <v>58.4</v>
      </c>
      <c r="L27" s="30">
        <v>8.1999999999999993</v>
      </c>
      <c r="M27" s="30">
        <v>4.7</v>
      </c>
      <c r="N27" s="72">
        <v>4.2</v>
      </c>
      <c r="O27" s="30">
        <v>2.9</v>
      </c>
      <c r="P27" s="45">
        <v>1.8401000000000001</v>
      </c>
    </row>
    <row r="28" spans="1:16">
      <c r="A28" s="3" t="s">
        <v>660</v>
      </c>
      <c r="B28" s="3" t="s">
        <v>661</v>
      </c>
      <c r="C28" s="3">
        <v>20</v>
      </c>
      <c r="D28" s="3" t="s">
        <v>541</v>
      </c>
      <c r="E28" s="27">
        <v>4.72</v>
      </c>
      <c r="F28" s="11">
        <v>8.3699999999999992</v>
      </c>
      <c r="G28" s="30">
        <v>73.2</v>
      </c>
      <c r="H28" s="30">
        <v>70.7</v>
      </c>
      <c r="I28" s="30">
        <v>61.7</v>
      </c>
      <c r="J28" s="30">
        <v>57.4</v>
      </c>
      <c r="K28" s="30">
        <v>59.5</v>
      </c>
      <c r="L28" s="30">
        <v>4.0999999999999996</v>
      </c>
      <c r="M28" s="30">
        <v>2.4</v>
      </c>
      <c r="N28" s="72">
        <v>2</v>
      </c>
      <c r="O28" s="30">
        <v>1.4</v>
      </c>
      <c r="P28" s="45">
        <v>1.1288</v>
      </c>
    </row>
    <row r="29" spans="1:16">
      <c r="A29" s="3" t="s">
        <v>80</v>
      </c>
      <c r="B29" s="3" t="s">
        <v>747</v>
      </c>
      <c r="C29" s="3">
        <v>21</v>
      </c>
      <c r="D29" s="3" t="s">
        <v>759</v>
      </c>
      <c r="E29" s="27">
        <v>4.87</v>
      </c>
      <c r="F29" s="11">
        <v>8.0399999999999991</v>
      </c>
      <c r="G29" s="30">
        <v>61.4</v>
      </c>
      <c r="H29" s="30">
        <v>69.900000000000006</v>
      </c>
      <c r="I29" s="30">
        <v>66.3</v>
      </c>
      <c r="J29" s="30">
        <v>63.3</v>
      </c>
      <c r="K29" s="30">
        <v>64.8</v>
      </c>
      <c r="L29" s="30">
        <v>6.1</v>
      </c>
      <c r="M29" s="30">
        <v>3.9</v>
      </c>
      <c r="N29" s="72">
        <v>3.4</v>
      </c>
      <c r="O29" s="30">
        <v>2.5</v>
      </c>
      <c r="P29" s="45">
        <v>1.778</v>
      </c>
    </row>
    <row r="30" spans="1:16">
      <c r="A30" s="3" t="s">
        <v>721</v>
      </c>
      <c r="B30" s="3" t="s">
        <v>722</v>
      </c>
      <c r="C30" s="3">
        <v>22</v>
      </c>
      <c r="D30" s="3" t="s">
        <v>664</v>
      </c>
      <c r="E30" s="27">
        <v>3.62</v>
      </c>
      <c r="F30" s="11">
        <v>6.91</v>
      </c>
      <c r="G30" s="30">
        <v>41.6</v>
      </c>
      <c r="H30" s="30">
        <v>48.1</v>
      </c>
      <c r="I30" s="30">
        <v>54.5</v>
      </c>
      <c r="J30" s="30">
        <v>49.1</v>
      </c>
      <c r="K30" s="30">
        <v>51.8</v>
      </c>
      <c r="L30" s="30">
        <v>13.9</v>
      </c>
      <c r="M30" s="30">
        <v>9.5</v>
      </c>
      <c r="N30" s="72">
        <v>8.6999999999999993</v>
      </c>
      <c r="O30" s="30">
        <v>6</v>
      </c>
      <c r="P30" s="45">
        <v>3.9996</v>
      </c>
    </row>
    <row r="31" spans="1:16">
      <c r="A31" s="3" t="s">
        <v>723</v>
      </c>
      <c r="B31" s="3" t="s">
        <v>724</v>
      </c>
      <c r="C31" s="3">
        <v>23</v>
      </c>
      <c r="D31" s="3" t="s">
        <v>541</v>
      </c>
      <c r="E31" s="27">
        <v>5.01</v>
      </c>
      <c r="F31" s="11">
        <v>9.26</v>
      </c>
      <c r="G31" s="30">
        <v>73.400000000000006</v>
      </c>
      <c r="H31" s="30">
        <v>78.7</v>
      </c>
      <c r="I31" s="30">
        <v>61.1</v>
      </c>
      <c r="J31" s="30">
        <v>55.4</v>
      </c>
      <c r="K31" s="30">
        <v>58.2</v>
      </c>
      <c r="L31" s="30">
        <v>2.4</v>
      </c>
      <c r="M31" s="30">
        <v>1.2</v>
      </c>
      <c r="N31" s="72">
        <v>0.8</v>
      </c>
      <c r="O31" s="30">
        <v>0.7</v>
      </c>
      <c r="P31" s="45">
        <v>0.67710000000000004</v>
      </c>
    </row>
    <row r="32" spans="1:16">
      <c r="A32" s="3" t="s">
        <v>725</v>
      </c>
      <c r="B32" s="3" t="s">
        <v>726</v>
      </c>
      <c r="C32" s="3">
        <v>24</v>
      </c>
      <c r="D32" s="3" t="s">
        <v>664</v>
      </c>
      <c r="E32" s="27">
        <v>4.13</v>
      </c>
      <c r="F32" s="11">
        <v>7.98</v>
      </c>
      <c r="G32" s="30">
        <v>52.8</v>
      </c>
      <c r="H32" s="30">
        <v>57</v>
      </c>
      <c r="I32" s="30">
        <v>58.5</v>
      </c>
      <c r="J32" s="30">
        <v>50.4</v>
      </c>
      <c r="K32" s="30">
        <v>54.4</v>
      </c>
      <c r="L32" s="30">
        <v>9.1</v>
      </c>
      <c r="M32" s="30">
        <v>5.4</v>
      </c>
      <c r="N32" s="72">
        <v>4.9000000000000004</v>
      </c>
      <c r="O32" s="30">
        <v>3.6</v>
      </c>
      <c r="P32" s="45">
        <v>2.4636999999999998</v>
      </c>
    </row>
    <row r="33" spans="1:16">
      <c r="E33" s="27"/>
      <c r="F33" s="11"/>
      <c r="G33" s="72"/>
      <c r="H33" s="72"/>
      <c r="I33" s="72"/>
      <c r="J33" s="72"/>
      <c r="K33" s="72"/>
      <c r="L33" s="31"/>
      <c r="M33" s="30"/>
      <c r="N33" s="72"/>
      <c r="O33" s="72"/>
      <c r="P33" s="45"/>
    </row>
    <row r="34" spans="1:16">
      <c r="A34" s="3" t="s">
        <v>727</v>
      </c>
      <c r="E34" s="27"/>
      <c r="F34" s="11"/>
      <c r="G34" s="72">
        <v>59.3</v>
      </c>
      <c r="H34" s="72">
        <v>68.099999999999994</v>
      </c>
      <c r="I34" s="72">
        <v>65.2</v>
      </c>
      <c r="J34" s="72">
        <v>62.3</v>
      </c>
      <c r="K34" s="72">
        <v>63.7</v>
      </c>
      <c r="L34" s="72"/>
      <c r="M34" s="30">
        <v>4</v>
      </c>
      <c r="N34" s="72">
        <v>3.5</v>
      </c>
      <c r="O34" s="72">
        <v>2.6</v>
      </c>
      <c r="P34" s="45">
        <v>1.9217</v>
      </c>
    </row>
    <row r="35" spans="1:16" ht="253">
      <c r="A35" s="7" t="s">
        <v>728</v>
      </c>
      <c r="B35" s="7"/>
      <c r="C35" s="7"/>
      <c r="D35" s="7"/>
      <c r="E35" s="1" t="s">
        <v>1124</v>
      </c>
      <c r="F35" s="1" t="s">
        <v>1064</v>
      </c>
      <c r="G35" s="7" t="s">
        <v>1235</v>
      </c>
      <c r="H35" s="7" t="s">
        <v>1235</v>
      </c>
      <c r="I35" s="7" t="s">
        <v>1235</v>
      </c>
      <c r="J35" s="7" t="s">
        <v>1235</v>
      </c>
      <c r="K35" s="7" t="s">
        <v>1235</v>
      </c>
      <c r="L35" s="7" t="s">
        <v>1085</v>
      </c>
      <c r="M35" s="7" t="s">
        <v>1085</v>
      </c>
      <c r="N35" s="1" t="s">
        <v>514</v>
      </c>
      <c r="O35" s="7" t="s">
        <v>1085</v>
      </c>
      <c r="P35" s="7" t="s">
        <v>2636</v>
      </c>
    </row>
    <row r="36" spans="1:16">
      <c r="A36" s="7"/>
      <c r="B36" s="7"/>
      <c r="C36" s="7"/>
      <c r="D36" s="7"/>
      <c r="E36" s="7"/>
      <c r="F36" s="7"/>
      <c r="G36" s="7"/>
      <c r="H36" s="7"/>
      <c r="I36" s="7"/>
      <c r="J36" s="7"/>
      <c r="K36" s="7"/>
      <c r="L36" s="7"/>
      <c r="M36" s="7"/>
      <c r="N36" s="7"/>
      <c r="O36" s="7"/>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2"/>
  <sheetViews>
    <sheetView topLeftCell="X1" workbookViewId="0">
      <pane xSplit="30020"/>
      <selection activeCell="AP32" sqref="AP32"/>
      <selection pane="topRight"/>
    </sheetView>
  </sheetViews>
  <sheetFormatPr baseColWidth="10" defaultRowHeight="13" x14ac:dyDescent="0"/>
  <cols>
    <col min="1" max="1" width="15.140625" style="3" customWidth="1"/>
    <col min="2" max="3" width="5.7109375" style="3" customWidth="1"/>
    <col min="4" max="4" width="10.7109375" style="3"/>
    <col min="5" max="5" width="10.7109375" style="4"/>
    <col min="6" max="39" width="10.7109375" style="3"/>
  </cols>
  <sheetData>
    <row r="1" spans="1:41">
      <c r="A1" s="184" t="s">
        <v>2404</v>
      </c>
    </row>
    <row r="2" spans="1:41">
      <c r="A2" s="1" t="s">
        <v>614</v>
      </c>
      <c r="B2" s="1"/>
      <c r="C2" s="1"/>
      <c r="D2" s="1"/>
      <c r="E2" s="9" t="s">
        <v>611</v>
      </c>
      <c r="F2" s="9" t="s">
        <v>611</v>
      </c>
      <c r="G2" s="9" t="s">
        <v>611</v>
      </c>
      <c r="H2" s="9" t="s">
        <v>611</v>
      </c>
      <c r="I2" s="9" t="s">
        <v>611</v>
      </c>
      <c r="J2" s="9" t="s">
        <v>611</v>
      </c>
      <c r="K2" s="9" t="s">
        <v>611</v>
      </c>
      <c r="L2" s="9" t="s">
        <v>611</v>
      </c>
      <c r="M2" s="9" t="s">
        <v>611</v>
      </c>
      <c r="N2" s="9" t="s">
        <v>611</v>
      </c>
      <c r="O2" s="9" t="s">
        <v>611</v>
      </c>
      <c r="P2" s="9" t="s">
        <v>611</v>
      </c>
      <c r="Q2" s="9" t="s">
        <v>611</v>
      </c>
      <c r="R2" s="9" t="s">
        <v>611</v>
      </c>
      <c r="S2" s="9" t="s">
        <v>611</v>
      </c>
      <c r="T2" s="9" t="s">
        <v>611</v>
      </c>
      <c r="U2" s="9" t="s">
        <v>611</v>
      </c>
      <c r="V2" s="9" t="s">
        <v>611</v>
      </c>
      <c r="W2" s="9" t="s">
        <v>611</v>
      </c>
      <c r="X2" s="9" t="s">
        <v>611</v>
      </c>
      <c r="Y2" s="9" t="s">
        <v>611</v>
      </c>
      <c r="Z2" s="9" t="s">
        <v>611</v>
      </c>
      <c r="AA2" s="9" t="s">
        <v>611</v>
      </c>
      <c r="AB2" s="9" t="s">
        <v>611</v>
      </c>
      <c r="AC2" s="9" t="s">
        <v>611</v>
      </c>
      <c r="AD2" s="9" t="s">
        <v>611</v>
      </c>
      <c r="AE2" s="9" t="s">
        <v>611</v>
      </c>
      <c r="AF2" s="9" t="s">
        <v>611</v>
      </c>
      <c r="AG2" s="9" t="s">
        <v>611</v>
      </c>
      <c r="AH2" s="9" t="s">
        <v>611</v>
      </c>
      <c r="AI2" s="9" t="s">
        <v>611</v>
      </c>
      <c r="AJ2" s="9" t="s">
        <v>611</v>
      </c>
      <c r="AK2" s="9" t="s">
        <v>611</v>
      </c>
      <c r="AL2" s="9" t="s">
        <v>611</v>
      </c>
      <c r="AM2" s="9" t="s">
        <v>611</v>
      </c>
      <c r="AN2" s="9" t="s">
        <v>611</v>
      </c>
      <c r="AO2" s="9" t="s">
        <v>611</v>
      </c>
    </row>
    <row r="3" spans="1:41">
      <c r="A3" s="1" t="s">
        <v>518</v>
      </c>
      <c r="B3" s="1"/>
      <c r="C3" s="1"/>
      <c r="D3" s="1"/>
      <c r="E3" s="9" t="s">
        <v>612</v>
      </c>
      <c r="F3" s="9" t="s">
        <v>612</v>
      </c>
      <c r="G3" s="9" t="s">
        <v>612</v>
      </c>
      <c r="H3" s="9" t="s">
        <v>612</v>
      </c>
      <c r="I3" s="9" t="s">
        <v>612</v>
      </c>
      <c r="J3" s="9" t="s">
        <v>612</v>
      </c>
      <c r="K3" s="9" t="s">
        <v>612</v>
      </c>
      <c r="L3" s="9" t="s">
        <v>612</v>
      </c>
      <c r="M3" s="9" t="s">
        <v>612</v>
      </c>
      <c r="N3" s="9" t="s">
        <v>612</v>
      </c>
      <c r="O3" s="9" t="s">
        <v>612</v>
      </c>
      <c r="P3" s="9" t="s">
        <v>612</v>
      </c>
      <c r="Q3" s="9" t="s">
        <v>612</v>
      </c>
      <c r="R3" s="9" t="s">
        <v>612</v>
      </c>
      <c r="S3" s="9" t="s">
        <v>612</v>
      </c>
      <c r="T3" s="9" t="s">
        <v>612</v>
      </c>
      <c r="U3" s="9" t="s">
        <v>612</v>
      </c>
      <c r="V3" s="9" t="s">
        <v>612</v>
      </c>
      <c r="W3" s="9" t="s">
        <v>612</v>
      </c>
      <c r="X3" s="9" t="s">
        <v>612</v>
      </c>
      <c r="Y3" s="9" t="s">
        <v>612</v>
      </c>
      <c r="Z3" s="9" t="s">
        <v>612</v>
      </c>
      <c r="AA3" s="9" t="s">
        <v>612</v>
      </c>
      <c r="AB3" s="9" t="s">
        <v>612</v>
      </c>
      <c r="AC3" s="9" t="s">
        <v>612</v>
      </c>
      <c r="AD3" s="9" t="s">
        <v>612</v>
      </c>
      <c r="AE3" s="9" t="s">
        <v>612</v>
      </c>
      <c r="AF3" s="9" t="s">
        <v>612</v>
      </c>
      <c r="AG3" s="9" t="s">
        <v>612</v>
      </c>
      <c r="AH3" s="9" t="s">
        <v>612</v>
      </c>
      <c r="AI3" s="9" t="s">
        <v>612</v>
      </c>
      <c r="AJ3" s="9" t="s">
        <v>612</v>
      </c>
      <c r="AK3" s="9" t="s">
        <v>612</v>
      </c>
      <c r="AL3" s="9" t="s">
        <v>612</v>
      </c>
      <c r="AM3" s="9" t="s">
        <v>612</v>
      </c>
      <c r="AN3" s="9" t="s">
        <v>612</v>
      </c>
      <c r="AO3" s="9" t="s">
        <v>612</v>
      </c>
    </row>
    <row r="4" spans="1:41">
      <c r="A4" s="1" t="s">
        <v>736</v>
      </c>
      <c r="B4" s="1"/>
      <c r="C4" s="1"/>
      <c r="D4" s="1"/>
      <c r="E4" s="9" t="s">
        <v>613</v>
      </c>
      <c r="F4" s="9" t="s">
        <v>613</v>
      </c>
      <c r="G4" s="9" t="s">
        <v>613</v>
      </c>
      <c r="H4" s="9" t="s">
        <v>613</v>
      </c>
      <c r="I4" s="9" t="s">
        <v>613</v>
      </c>
      <c r="J4" s="9" t="s">
        <v>613</v>
      </c>
      <c r="K4" s="9" t="s">
        <v>613</v>
      </c>
      <c r="L4" s="9" t="s">
        <v>613</v>
      </c>
      <c r="M4" s="9" t="s">
        <v>613</v>
      </c>
      <c r="N4" s="9" t="s">
        <v>613</v>
      </c>
      <c r="O4" s="9" t="s">
        <v>613</v>
      </c>
      <c r="P4" s="9" t="s">
        <v>613</v>
      </c>
      <c r="Q4" s="9" t="s">
        <v>613</v>
      </c>
      <c r="R4" s="9" t="s">
        <v>613</v>
      </c>
      <c r="S4" s="9" t="s">
        <v>613</v>
      </c>
      <c r="T4" s="9" t="s">
        <v>613</v>
      </c>
      <c r="U4" s="9" t="s">
        <v>613</v>
      </c>
      <c r="V4" s="9" t="s">
        <v>613</v>
      </c>
      <c r="W4" s="9" t="s">
        <v>613</v>
      </c>
      <c r="X4" s="9" t="s">
        <v>613</v>
      </c>
      <c r="Y4" s="9" t="s">
        <v>613</v>
      </c>
      <c r="Z4" s="9" t="s">
        <v>613</v>
      </c>
      <c r="AA4" s="9" t="s">
        <v>613</v>
      </c>
      <c r="AB4" s="9" t="s">
        <v>613</v>
      </c>
      <c r="AC4" s="9" t="s">
        <v>613</v>
      </c>
      <c r="AD4" s="9" t="s">
        <v>613</v>
      </c>
      <c r="AE4" s="9" t="s">
        <v>613</v>
      </c>
      <c r="AF4" s="9" t="s">
        <v>613</v>
      </c>
      <c r="AG4" s="9" t="s">
        <v>613</v>
      </c>
      <c r="AH4" s="9" t="s">
        <v>613</v>
      </c>
      <c r="AI4" s="9" t="s">
        <v>613</v>
      </c>
      <c r="AJ4" s="9" t="s">
        <v>613</v>
      </c>
      <c r="AK4" s="9" t="s">
        <v>613</v>
      </c>
      <c r="AL4" s="9" t="s">
        <v>613</v>
      </c>
      <c r="AM4" s="9" t="s">
        <v>613</v>
      </c>
      <c r="AN4" s="9" t="s">
        <v>613</v>
      </c>
      <c r="AO4" s="9" t="s">
        <v>613</v>
      </c>
    </row>
    <row r="5" spans="1:41">
      <c r="A5" s="1" t="s">
        <v>737</v>
      </c>
      <c r="B5" s="1"/>
      <c r="C5" s="1"/>
      <c r="D5" s="1"/>
      <c r="E5" s="20" t="s">
        <v>510</v>
      </c>
      <c r="F5" s="20" t="s">
        <v>510</v>
      </c>
      <c r="G5" s="20" t="s">
        <v>855</v>
      </c>
      <c r="H5" s="20" t="s">
        <v>855</v>
      </c>
      <c r="I5" s="20" t="s">
        <v>855</v>
      </c>
      <c r="J5" s="20" t="s">
        <v>855</v>
      </c>
      <c r="K5" s="20" t="s">
        <v>855</v>
      </c>
      <c r="L5" s="20" t="s">
        <v>855</v>
      </c>
      <c r="M5" s="20" t="s">
        <v>855</v>
      </c>
      <c r="N5" s="20" t="s">
        <v>855</v>
      </c>
      <c r="O5" s="20" t="s">
        <v>855</v>
      </c>
      <c r="P5" s="20" t="s">
        <v>855</v>
      </c>
      <c r="Q5" s="20" t="s">
        <v>855</v>
      </c>
      <c r="R5" s="20" t="s">
        <v>855</v>
      </c>
      <c r="S5" s="20" t="s">
        <v>855</v>
      </c>
      <c r="T5" s="20" t="s">
        <v>855</v>
      </c>
      <c r="U5" s="20" t="s">
        <v>855</v>
      </c>
      <c r="V5" s="20" t="s">
        <v>855</v>
      </c>
      <c r="W5" s="20" t="s">
        <v>855</v>
      </c>
      <c r="X5" s="20" t="s">
        <v>855</v>
      </c>
      <c r="Y5" s="20" t="s">
        <v>855</v>
      </c>
      <c r="Z5" s="20" t="s">
        <v>855</v>
      </c>
      <c r="AA5" s="20" t="s">
        <v>855</v>
      </c>
      <c r="AB5" s="20" t="s">
        <v>855</v>
      </c>
      <c r="AC5" s="20" t="s">
        <v>855</v>
      </c>
      <c r="AD5" s="20" t="s">
        <v>855</v>
      </c>
      <c r="AE5" s="20" t="s">
        <v>855</v>
      </c>
      <c r="AF5" s="20" t="s">
        <v>855</v>
      </c>
      <c r="AG5" s="20" t="s">
        <v>855</v>
      </c>
      <c r="AH5" s="20" t="s">
        <v>855</v>
      </c>
      <c r="AI5" s="20" t="s">
        <v>855</v>
      </c>
      <c r="AJ5" s="20" t="s">
        <v>855</v>
      </c>
      <c r="AK5" s="20" t="s">
        <v>855</v>
      </c>
      <c r="AL5" s="20" t="s">
        <v>855</v>
      </c>
      <c r="AM5" s="20" t="s">
        <v>855</v>
      </c>
      <c r="AN5" s="20" t="s">
        <v>855</v>
      </c>
      <c r="AO5" s="20" t="s">
        <v>855</v>
      </c>
    </row>
    <row r="6" spans="1:41">
      <c r="A6" s="42" t="s">
        <v>560</v>
      </c>
      <c r="B6" s="42"/>
      <c r="C6" s="42"/>
      <c r="D6" s="42"/>
      <c r="E6" s="42">
        <v>1960</v>
      </c>
      <c r="F6" s="42">
        <v>1970</v>
      </c>
      <c r="G6" s="42">
        <v>1980</v>
      </c>
      <c r="H6" s="42">
        <v>1981</v>
      </c>
      <c r="I6" s="42">
        <v>1982</v>
      </c>
      <c r="J6" s="42">
        <v>1983</v>
      </c>
      <c r="K6" s="42">
        <v>1984</v>
      </c>
      <c r="L6" s="42">
        <v>1985</v>
      </c>
      <c r="M6" s="42">
        <v>1986</v>
      </c>
      <c r="N6" s="42">
        <v>1987</v>
      </c>
      <c r="O6" s="42">
        <v>1988</v>
      </c>
      <c r="P6" s="42">
        <v>1989</v>
      </c>
      <c r="Q6" s="42">
        <v>1990</v>
      </c>
      <c r="R6" s="42">
        <v>1991</v>
      </c>
      <c r="S6" s="42">
        <v>1992</v>
      </c>
      <c r="T6" s="42">
        <v>1993</v>
      </c>
      <c r="U6" s="42">
        <v>1994</v>
      </c>
      <c r="V6" s="42">
        <v>1995</v>
      </c>
      <c r="W6" s="42">
        <v>1996</v>
      </c>
      <c r="X6" s="42">
        <v>1997</v>
      </c>
      <c r="Y6" s="42">
        <v>1998</v>
      </c>
      <c r="Z6" s="42">
        <v>1999</v>
      </c>
      <c r="AA6" s="42">
        <v>2000</v>
      </c>
      <c r="AB6" s="42">
        <v>2001</v>
      </c>
      <c r="AC6" s="42">
        <v>2002</v>
      </c>
      <c r="AD6" s="42">
        <v>2003</v>
      </c>
      <c r="AE6" s="42">
        <v>2004</v>
      </c>
      <c r="AF6" s="42">
        <v>2005</v>
      </c>
      <c r="AG6" s="42">
        <v>2006</v>
      </c>
      <c r="AH6" s="42" t="s">
        <v>1521</v>
      </c>
      <c r="AI6" s="42" t="s">
        <v>1467</v>
      </c>
      <c r="AJ6" s="42" t="s">
        <v>328</v>
      </c>
      <c r="AK6" s="42" t="s">
        <v>1826</v>
      </c>
      <c r="AL6" s="42" t="s">
        <v>1812</v>
      </c>
      <c r="AM6" s="42" t="s">
        <v>1869</v>
      </c>
      <c r="AN6" s="42" t="s">
        <v>1927</v>
      </c>
      <c r="AO6" s="42" t="s">
        <v>3348</v>
      </c>
    </row>
    <row r="7" spans="1:41" ht="77">
      <c r="A7" s="7" t="s">
        <v>3334</v>
      </c>
      <c r="B7" s="1"/>
      <c r="C7" s="1"/>
      <c r="D7" s="1"/>
      <c r="E7" s="20" t="s">
        <v>881</v>
      </c>
      <c r="F7" s="20" t="s">
        <v>695</v>
      </c>
      <c r="G7" s="20" t="s">
        <v>1859</v>
      </c>
      <c r="H7" s="20" t="s">
        <v>1858</v>
      </c>
      <c r="I7" s="20" t="s">
        <v>1857</v>
      </c>
      <c r="J7" s="20" t="s">
        <v>1856</v>
      </c>
      <c r="K7" s="20" t="s">
        <v>1855</v>
      </c>
      <c r="L7" s="20" t="s">
        <v>1854</v>
      </c>
      <c r="M7" s="20" t="s">
        <v>1853</v>
      </c>
      <c r="N7" s="20" t="s">
        <v>1852</v>
      </c>
      <c r="O7" s="20" t="s">
        <v>1851</v>
      </c>
      <c r="P7" s="20" t="s">
        <v>1850</v>
      </c>
      <c r="Q7" s="20" t="s">
        <v>1849</v>
      </c>
      <c r="R7" s="20" t="s">
        <v>1848</v>
      </c>
      <c r="S7" s="20" t="s">
        <v>1847</v>
      </c>
      <c r="T7" s="20" t="s">
        <v>1846</v>
      </c>
      <c r="U7" s="20" t="s">
        <v>1845</v>
      </c>
      <c r="V7" s="20" t="s">
        <v>1845</v>
      </c>
      <c r="W7" s="20" t="s">
        <v>1844</v>
      </c>
      <c r="X7" s="20" t="s">
        <v>1843</v>
      </c>
      <c r="Y7" s="20" t="s">
        <v>1842</v>
      </c>
      <c r="Z7" s="20" t="s">
        <v>1841</v>
      </c>
      <c r="AA7" s="20" t="s">
        <v>1840</v>
      </c>
      <c r="AB7" s="20" t="s">
        <v>1839</v>
      </c>
      <c r="AC7" s="20" t="s">
        <v>1838</v>
      </c>
      <c r="AD7" s="20" t="s">
        <v>1837</v>
      </c>
      <c r="AE7" s="20" t="s">
        <v>1836</v>
      </c>
      <c r="AF7" s="20" t="s">
        <v>1835</v>
      </c>
      <c r="AG7" s="20" t="s">
        <v>1834</v>
      </c>
      <c r="AH7" s="20" t="s">
        <v>1833</v>
      </c>
      <c r="AI7" s="20" t="s">
        <v>1832</v>
      </c>
      <c r="AJ7" s="20" t="s">
        <v>1831</v>
      </c>
      <c r="AK7" s="20" t="s">
        <v>1830</v>
      </c>
      <c r="AL7" s="20" t="s">
        <v>1829</v>
      </c>
      <c r="AM7" s="20" t="s">
        <v>1973</v>
      </c>
      <c r="AN7" s="20" t="s">
        <v>2850</v>
      </c>
      <c r="AO7" s="20" t="s">
        <v>3351</v>
      </c>
    </row>
    <row r="8" spans="1:41">
      <c r="A8" s="9" t="s">
        <v>572</v>
      </c>
      <c r="B8" s="9" t="s">
        <v>770</v>
      </c>
      <c r="C8" s="9" t="s">
        <v>771</v>
      </c>
      <c r="D8" s="9" t="s">
        <v>772</v>
      </c>
      <c r="E8" s="23" t="s">
        <v>773</v>
      </c>
      <c r="F8" s="9" t="s">
        <v>774</v>
      </c>
      <c r="G8" s="9" t="s">
        <v>573</v>
      </c>
      <c r="H8" s="9" t="s">
        <v>574</v>
      </c>
      <c r="I8" s="9" t="s">
        <v>575</v>
      </c>
      <c r="J8" s="9" t="s">
        <v>576</v>
      </c>
      <c r="K8" s="9" t="s">
        <v>577</v>
      </c>
      <c r="L8" s="9" t="s">
        <v>578</v>
      </c>
      <c r="M8" s="9" t="s">
        <v>579</v>
      </c>
      <c r="N8" s="9" t="s">
        <v>450</v>
      </c>
      <c r="O8" s="9" t="s">
        <v>451</v>
      </c>
      <c r="P8" s="9" t="s">
        <v>523</v>
      </c>
      <c r="Q8" s="9" t="s">
        <v>705</v>
      </c>
      <c r="R8" s="9" t="s">
        <v>706</v>
      </c>
      <c r="S8" s="9" t="s">
        <v>796</v>
      </c>
      <c r="T8" s="9" t="s">
        <v>693</v>
      </c>
      <c r="U8" s="9" t="s">
        <v>694</v>
      </c>
      <c r="V8" s="9" t="s">
        <v>817</v>
      </c>
      <c r="W8" s="9" t="s">
        <v>603</v>
      </c>
      <c r="X8" s="9" t="s">
        <v>604</v>
      </c>
      <c r="Y8" s="9" t="s">
        <v>605</v>
      </c>
      <c r="Z8" s="9" t="s">
        <v>606</v>
      </c>
      <c r="AA8" s="9" t="s">
        <v>607</v>
      </c>
      <c r="AB8" s="9" t="s">
        <v>608</v>
      </c>
      <c r="AC8" s="9" t="s">
        <v>598</v>
      </c>
      <c r="AD8" s="9" t="s">
        <v>599</v>
      </c>
      <c r="AE8" s="9" t="s">
        <v>819</v>
      </c>
      <c r="AF8" s="9" t="s">
        <v>820</v>
      </c>
      <c r="AG8" s="9" t="s">
        <v>822</v>
      </c>
      <c r="AH8" s="9" t="s">
        <v>1464</v>
      </c>
      <c r="AI8" s="9" t="s">
        <v>1465</v>
      </c>
      <c r="AJ8" s="9" t="s">
        <v>1466</v>
      </c>
      <c r="AK8" s="9" t="s">
        <v>1828</v>
      </c>
      <c r="AL8" s="9" t="s">
        <v>1827</v>
      </c>
      <c r="AM8" s="9" t="s">
        <v>1974</v>
      </c>
      <c r="AN8" s="9" t="s">
        <v>2851</v>
      </c>
      <c r="AO8" s="9" t="s">
        <v>3350</v>
      </c>
    </row>
    <row r="9" spans="1:41">
      <c r="A9" s="3" t="s">
        <v>850</v>
      </c>
      <c r="B9" s="3" t="s">
        <v>851</v>
      </c>
      <c r="C9" s="3">
        <v>1</v>
      </c>
      <c r="D9" s="3" t="s">
        <v>759</v>
      </c>
      <c r="E9" s="4">
        <v>52.3</v>
      </c>
      <c r="F9" s="3">
        <v>55.2</v>
      </c>
      <c r="G9" s="5">
        <v>28.4</v>
      </c>
      <c r="H9" s="5">
        <v>33.1</v>
      </c>
      <c r="I9" s="5">
        <v>28.3</v>
      </c>
      <c r="J9" s="5">
        <v>26.2</v>
      </c>
      <c r="K9" s="5">
        <v>29.4</v>
      </c>
      <c r="L9" s="5">
        <v>23.8</v>
      </c>
      <c r="M9" s="5">
        <v>24.8</v>
      </c>
      <c r="N9" s="5">
        <v>25.9</v>
      </c>
      <c r="O9" s="210">
        <v>24.2</v>
      </c>
      <c r="P9" s="210">
        <v>23.9</v>
      </c>
      <c r="Q9" s="5">
        <v>24.2</v>
      </c>
      <c r="R9" s="5">
        <v>24.2</v>
      </c>
      <c r="S9" s="5">
        <v>23.5</v>
      </c>
      <c r="T9" s="5">
        <v>22.3</v>
      </c>
      <c r="U9" s="5">
        <v>21.8</v>
      </c>
      <c r="V9" s="5">
        <v>22.2</v>
      </c>
      <c r="W9" s="5">
        <v>20.9</v>
      </c>
      <c r="X9" s="5">
        <v>18.8</v>
      </c>
      <c r="Y9" s="5">
        <v>19.100000000000001</v>
      </c>
      <c r="Z9" s="5">
        <v>16.600000000000001</v>
      </c>
      <c r="AA9" s="5">
        <v>15.1</v>
      </c>
      <c r="AB9" s="5">
        <v>15</v>
      </c>
      <c r="AC9" s="5">
        <v>15.8</v>
      </c>
      <c r="AD9" s="5">
        <v>16.3</v>
      </c>
      <c r="AE9" s="5">
        <v>13</v>
      </c>
      <c r="AF9" s="5">
        <v>13</v>
      </c>
      <c r="AG9" s="5">
        <v>12.5</v>
      </c>
      <c r="AH9" s="5">
        <v>13.6</v>
      </c>
      <c r="AI9" s="5">
        <v>12.4</v>
      </c>
      <c r="AJ9" s="5">
        <v>12.5</v>
      </c>
      <c r="AK9" s="5">
        <v>12</v>
      </c>
      <c r="AL9" s="5">
        <v>11.8</v>
      </c>
      <c r="AM9" s="5">
        <v>11.4</v>
      </c>
      <c r="AN9" s="5">
        <v>11</v>
      </c>
      <c r="AO9" s="5">
        <v>10.5</v>
      </c>
    </row>
    <row r="10" spans="1:41">
      <c r="A10" s="3" t="s">
        <v>667</v>
      </c>
      <c r="B10" s="3" t="s">
        <v>668</v>
      </c>
      <c r="C10" s="3">
        <v>2</v>
      </c>
      <c r="D10" s="3" t="s">
        <v>759</v>
      </c>
      <c r="E10" s="4">
        <v>40.4</v>
      </c>
      <c r="F10" s="3">
        <v>31.5</v>
      </c>
      <c r="G10" s="5">
        <v>18.5</v>
      </c>
      <c r="H10" s="5">
        <v>17.7</v>
      </c>
      <c r="I10" s="5">
        <v>16.600000000000001</v>
      </c>
      <c r="J10" s="5">
        <v>17.100000000000001</v>
      </c>
      <c r="K10" s="5">
        <v>17.5</v>
      </c>
      <c r="L10" s="5">
        <v>15.3</v>
      </c>
      <c r="M10" s="5">
        <v>17.8</v>
      </c>
      <c r="N10" s="5">
        <v>15.9</v>
      </c>
      <c r="O10" s="5">
        <v>17</v>
      </c>
      <c r="P10" s="210">
        <v>15.9</v>
      </c>
      <c r="Q10" s="5">
        <v>16.8</v>
      </c>
      <c r="R10" s="5">
        <v>15.2</v>
      </c>
      <c r="S10" s="5">
        <v>14.9</v>
      </c>
      <c r="T10" s="210">
        <v>14.6</v>
      </c>
      <c r="U10" s="5">
        <v>14.3</v>
      </c>
      <c r="V10" s="5">
        <v>13.1</v>
      </c>
      <c r="W10" s="5">
        <v>14.7</v>
      </c>
      <c r="X10" s="5">
        <v>12.2</v>
      </c>
      <c r="Y10" s="5">
        <v>13</v>
      </c>
      <c r="Z10" s="5">
        <v>10.7</v>
      </c>
      <c r="AA10" s="5">
        <v>9.4</v>
      </c>
      <c r="AB10" s="5">
        <v>9.6</v>
      </c>
      <c r="AC10" s="5">
        <v>10</v>
      </c>
      <c r="AD10" s="5">
        <v>10.3</v>
      </c>
      <c r="AE10" s="5">
        <v>8.6999999999999993</v>
      </c>
      <c r="AF10" s="5">
        <v>8</v>
      </c>
      <c r="AG10" s="5">
        <v>8.3000000000000007</v>
      </c>
      <c r="AH10" s="5">
        <v>8.4</v>
      </c>
      <c r="AI10" s="5">
        <v>7.7</v>
      </c>
      <c r="AJ10" s="5">
        <v>8.5</v>
      </c>
      <c r="AK10" s="5">
        <v>7</v>
      </c>
      <c r="AL10" s="5">
        <v>8.8000000000000007</v>
      </c>
      <c r="AM10" s="5">
        <v>8.3000000000000007</v>
      </c>
      <c r="AN10" s="5">
        <v>8.9</v>
      </c>
      <c r="AO10" s="5">
        <v>8.1</v>
      </c>
    </row>
    <row r="11" spans="1:41">
      <c r="A11" s="3" t="s">
        <v>669</v>
      </c>
      <c r="B11" s="3" t="s">
        <v>663</v>
      </c>
      <c r="C11" s="3">
        <v>3</v>
      </c>
      <c r="D11" s="3" t="s">
        <v>664</v>
      </c>
      <c r="E11" s="4">
        <v>109</v>
      </c>
      <c r="F11" s="3">
        <v>70.599999999999994</v>
      </c>
      <c r="G11" s="5">
        <v>41.9</v>
      </c>
      <c r="H11" s="5">
        <v>43.9</v>
      </c>
      <c r="I11" s="5">
        <v>34.299999999999997</v>
      </c>
      <c r="J11" s="5">
        <v>53.2</v>
      </c>
      <c r="K11" s="5"/>
      <c r="L11" s="5"/>
      <c r="M11" s="210">
        <v>27.8</v>
      </c>
      <c r="N11" s="210">
        <v>26.5</v>
      </c>
      <c r="O11" s="210">
        <v>26.6</v>
      </c>
      <c r="P11" s="210">
        <v>24.6</v>
      </c>
      <c r="Q11" s="5">
        <v>34.6</v>
      </c>
      <c r="R11" s="5">
        <v>31.8</v>
      </c>
      <c r="S11" s="5">
        <v>28.1</v>
      </c>
      <c r="T11" s="5">
        <v>23.1</v>
      </c>
      <c r="U11" s="5">
        <v>29.8</v>
      </c>
      <c r="V11" s="5">
        <v>26.1</v>
      </c>
      <c r="W11" s="5">
        <v>26.4</v>
      </c>
      <c r="X11" s="5">
        <v>25.6</v>
      </c>
      <c r="Y11" s="5">
        <v>23.3</v>
      </c>
      <c r="Z11" s="5">
        <v>20.3</v>
      </c>
      <c r="AA11" s="5">
        <v>21</v>
      </c>
      <c r="AB11" s="5">
        <v>15.5</v>
      </c>
      <c r="AC11" s="5">
        <v>20.6</v>
      </c>
      <c r="AD11" s="5">
        <v>20.100000000000001</v>
      </c>
      <c r="AE11" s="5">
        <v>21.8</v>
      </c>
      <c r="AF11" s="5">
        <v>16.8</v>
      </c>
      <c r="AG11" s="5">
        <v>15.4</v>
      </c>
      <c r="AH11" s="5">
        <v>14.9</v>
      </c>
      <c r="AI11" s="5">
        <v>15.3</v>
      </c>
      <c r="AJ11" s="5">
        <v>14.5</v>
      </c>
      <c r="AK11" s="5">
        <v>15.4</v>
      </c>
      <c r="AL11" s="5">
        <v>14</v>
      </c>
      <c r="AM11" s="5">
        <v>8.9</v>
      </c>
      <c r="AN11" s="5">
        <v>9.6999999999999993</v>
      </c>
      <c r="AO11" s="5">
        <v>9.1999999999999993</v>
      </c>
    </row>
    <row r="12" spans="1:41">
      <c r="A12" s="3" t="s">
        <v>665</v>
      </c>
      <c r="B12" s="3" t="s">
        <v>640</v>
      </c>
      <c r="C12" s="3">
        <v>4</v>
      </c>
      <c r="D12" s="3" t="s">
        <v>641</v>
      </c>
      <c r="E12" s="4">
        <v>79</v>
      </c>
      <c r="F12" s="3">
        <v>91.1</v>
      </c>
      <c r="G12" s="5">
        <v>54.2</v>
      </c>
      <c r="H12" s="5">
        <v>48</v>
      </c>
      <c r="I12" s="5">
        <v>46.4</v>
      </c>
      <c r="J12" s="5">
        <v>39.5</v>
      </c>
      <c r="K12" s="5">
        <v>43.8</v>
      </c>
      <c r="L12" s="5">
        <v>39.4</v>
      </c>
      <c r="M12" s="5">
        <v>37.1</v>
      </c>
      <c r="N12" s="5">
        <v>33.299999999999997</v>
      </c>
      <c r="O12" s="5">
        <v>37.9</v>
      </c>
      <c r="P12" s="5">
        <v>37.9</v>
      </c>
      <c r="Q12" s="5">
        <v>35.799999999999997</v>
      </c>
      <c r="R12" s="5">
        <v>32.299999999999997</v>
      </c>
      <c r="S12" s="5">
        <v>33.5</v>
      </c>
      <c r="T12" s="5">
        <v>34.299999999999997</v>
      </c>
      <c r="U12" s="5">
        <v>31.4</v>
      </c>
      <c r="V12" s="5">
        <v>32.799999999999997</v>
      </c>
      <c r="W12" s="5">
        <v>34.4</v>
      </c>
      <c r="X12" s="5">
        <v>28.2</v>
      </c>
      <c r="Y12" s="5">
        <v>31.8</v>
      </c>
      <c r="Z12" s="5">
        <v>29</v>
      </c>
      <c r="AA12" s="5">
        <v>21.9</v>
      </c>
      <c r="AB12" s="5">
        <v>24</v>
      </c>
      <c r="AC12" s="5">
        <v>26.7</v>
      </c>
      <c r="AD12" s="5">
        <v>27.7</v>
      </c>
      <c r="AE12" s="5">
        <v>21.3</v>
      </c>
      <c r="AF12" s="5">
        <v>19.899999999999999</v>
      </c>
      <c r="AG12" s="5">
        <v>18.899999999999999</v>
      </c>
      <c r="AH12" s="5">
        <v>21.2</v>
      </c>
      <c r="AI12" s="5">
        <v>18</v>
      </c>
      <c r="AJ12" s="5">
        <v>17.8</v>
      </c>
      <c r="AK12" s="5">
        <v>14.7</v>
      </c>
      <c r="AL12" s="5">
        <v>11.4</v>
      </c>
      <c r="AM12" s="5">
        <v>13.3</v>
      </c>
      <c r="AN12" s="5">
        <v>11.6</v>
      </c>
      <c r="AO12" s="5">
        <v>12.8</v>
      </c>
    </row>
    <row r="13" spans="1:41">
      <c r="A13" s="3" t="s">
        <v>539</v>
      </c>
      <c r="B13" s="3" t="s">
        <v>540</v>
      </c>
      <c r="C13" s="3">
        <v>5</v>
      </c>
      <c r="D13" s="3" t="s">
        <v>541</v>
      </c>
      <c r="E13" s="4">
        <v>94.9</v>
      </c>
      <c r="F13" s="3">
        <v>81.7</v>
      </c>
      <c r="G13" s="5">
        <v>34.799999999999997</v>
      </c>
      <c r="H13" s="5">
        <v>36.9</v>
      </c>
      <c r="I13" s="5">
        <v>34</v>
      </c>
      <c r="J13" s="5">
        <v>33.799999999999997</v>
      </c>
      <c r="K13" s="5">
        <v>29.3</v>
      </c>
      <c r="L13" s="5">
        <v>26.3</v>
      </c>
      <c r="M13" s="5">
        <v>21.3</v>
      </c>
      <c r="N13" s="5">
        <v>23.4</v>
      </c>
      <c r="O13" s="210">
        <v>23.3</v>
      </c>
      <c r="P13" s="210">
        <v>22.9</v>
      </c>
      <c r="Q13" s="210">
        <v>20.6</v>
      </c>
      <c r="R13" s="210">
        <v>19.100000000000001</v>
      </c>
      <c r="S13" s="5">
        <v>19.899999999999999</v>
      </c>
      <c r="T13" s="5">
        <v>18</v>
      </c>
      <c r="U13" s="5">
        <v>18.399999999999999</v>
      </c>
      <c r="V13" s="5">
        <v>20.3</v>
      </c>
      <c r="W13" s="5">
        <v>18</v>
      </c>
      <c r="X13" s="5">
        <v>19.100000000000001</v>
      </c>
      <c r="Y13" s="5">
        <v>19.7</v>
      </c>
      <c r="Z13" s="5">
        <v>17.899999999999999</v>
      </c>
      <c r="AA13" s="5">
        <v>15.8</v>
      </c>
      <c r="AB13" s="5">
        <v>13.1</v>
      </c>
      <c r="AC13" s="5">
        <v>17.8</v>
      </c>
      <c r="AD13" s="5">
        <v>15.1</v>
      </c>
      <c r="AE13" s="5">
        <v>11.8</v>
      </c>
      <c r="AF13" s="5">
        <v>11.7</v>
      </c>
      <c r="AG13" s="5">
        <v>11.5</v>
      </c>
      <c r="AH13" s="5">
        <v>11</v>
      </c>
      <c r="AI13" s="5">
        <v>10.4</v>
      </c>
      <c r="AJ13" s="5">
        <v>9.4</v>
      </c>
      <c r="AK13" s="5">
        <v>9.8000000000000007</v>
      </c>
      <c r="AL13" s="5">
        <v>10.199999999999999</v>
      </c>
      <c r="AM13" s="5">
        <v>9.8000000000000007</v>
      </c>
      <c r="AN13" s="5">
        <v>9.3000000000000007</v>
      </c>
      <c r="AO13" s="5">
        <v>8.1</v>
      </c>
    </row>
    <row r="14" spans="1:41">
      <c r="A14" s="3" t="s">
        <v>542</v>
      </c>
      <c r="B14" s="3" t="s">
        <v>543</v>
      </c>
      <c r="C14" s="3">
        <v>6</v>
      </c>
      <c r="D14" s="3" t="s">
        <v>759</v>
      </c>
      <c r="E14" s="4">
        <v>56.9</v>
      </c>
      <c r="F14" s="3">
        <v>49.1</v>
      </c>
      <c r="G14" s="5">
        <v>24.2</v>
      </c>
      <c r="H14" s="5">
        <v>24.9</v>
      </c>
      <c r="I14" s="5">
        <v>24.8</v>
      </c>
      <c r="J14" s="5">
        <v>24.6</v>
      </c>
      <c r="K14" s="5">
        <v>27.1</v>
      </c>
      <c r="L14" s="5">
        <v>22.6</v>
      </c>
      <c r="M14" s="5">
        <v>24.1</v>
      </c>
      <c r="N14" s="5">
        <v>23.5</v>
      </c>
      <c r="O14" s="5">
        <v>24.1</v>
      </c>
      <c r="P14" s="5">
        <v>21.1</v>
      </c>
      <c r="Q14" s="5">
        <v>22.2</v>
      </c>
      <c r="R14" s="5">
        <v>22.3</v>
      </c>
      <c r="S14" s="5">
        <v>19.600000000000001</v>
      </c>
      <c r="T14" s="5">
        <v>20.8</v>
      </c>
      <c r="U14" s="5">
        <v>20</v>
      </c>
      <c r="V14" s="5">
        <v>20.5</v>
      </c>
      <c r="W14" s="5">
        <v>19.399999999999999</v>
      </c>
      <c r="X14" s="5">
        <v>16.3</v>
      </c>
      <c r="Y14" s="5">
        <v>16.8</v>
      </c>
      <c r="Z14" s="5">
        <v>15.3</v>
      </c>
      <c r="AA14" s="5">
        <v>15</v>
      </c>
      <c r="AB14" s="5">
        <v>16.2</v>
      </c>
      <c r="AC14" s="5">
        <v>14.8</v>
      </c>
      <c r="AD14" s="5">
        <v>14.3</v>
      </c>
      <c r="AE14" s="5">
        <v>12.7</v>
      </c>
      <c r="AF14" s="5">
        <v>11.9</v>
      </c>
      <c r="AG14" s="5">
        <v>11.6</v>
      </c>
      <c r="AH14" s="5">
        <v>12.7</v>
      </c>
      <c r="AI14" s="5">
        <v>12.1</v>
      </c>
      <c r="AJ14" s="5">
        <v>10.7</v>
      </c>
      <c r="AK14" s="5">
        <v>11.1</v>
      </c>
      <c r="AL14" s="5">
        <v>10.8</v>
      </c>
      <c r="AM14" s="5">
        <v>9.6999999999999993</v>
      </c>
      <c r="AN14" s="5">
        <v>9.6</v>
      </c>
      <c r="AO14" s="5">
        <v>8.9</v>
      </c>
    </row>
    <row r="15" spans="1:41">
      <c r="A15" s="3" t="s">
        <v>628</v>
      </c>
      <c r="B15" s="3" t="s">
        <v>629</v>
      </c>
      <c r="C15" s="3">
        <v>7</v>
      </c>
      <c r="D15" s="3" t="s">
        <v>641</v>
      </c>
      <c r="E15" s="4">
        <v>77.8</v>
      </c>
      <c r="F15" s="3">
        <v>75.099999999999994</v>
      </c>
      <c r="G15" s="5">
        <v>44.6</v>
      </c>
      <c r="H15" s="5">
        <v>44.7</v>
      </c>
      <c r="I15" s="5">
        <v>37.299999999999997</v>
      </c>
      <c r="J15" s="5">
        <v>41.4</v>
      </c>
      <c r="K15" s="5">
        <v>37.700000000000003</v>
      </c>
      <c r="L15" s="5">
        <v>32.5</v>
      </c>
      <c r="M15" s="5">
        <v>28.4</v>
      </c>
      <c r="N15" s="5">
        <v>34.5</v>
      </c>
      <c r="O15" s="5">
        <v>28.6</v>
      </c>
      <c r="P15" s="5">
        <v>33.700000000000003</v>
      </c>
      <c r="Q15" s="5">
        <v>31.7</v>
      </c>
      <c r="R15" s="5">
        <v>28.5</v>
      </c>
      <c r="S15" s="5">
        <v>27.7</v>
      </c>
      <c r="T15" s="5">
        <v>26.9</v>
      </c>
      <c r="U15" s="5">
        <v>26.1</v>
      </c>
      <c r="V15" s="5">
        <v>27.3</v>
      </c>
      <c r="W15" s="5">
        <v>26.1</v>
      </c>
      <c r="X15" s="5">
        <v>22.8</v>
      </c>
      <c r="Y15" s="5">
        <v>23.8</v>
      </c>
      <c r="Z15" s="5">
        <v>22.9</v>
      </c>
      <c r="AA15" s="5">
        <v>30.4</v>
      </c>
      <c r="AB15" s="5">
        <v>23.5</v>
      </c>
      <c r="AC15" s="5">
        <v>23.8</v>
      </c>
      <c r="AD15" s="5">
        <v>21.1</v>
      </c>
      <c r="AE15" s="5">
        <v>19.3</v>
      </c>
      <c r="AF15" s="5">
        <v>18.2</v>
      </c>
      <c r="AG15" s="5">
        <v>17.5</v>
      </c>
      <c r="AH15" s="5">
        <v>15.6</v>
      </c>
      <c r="AI15" s="5">
        <v>17.100000000000001</v>
      </c>
      <c r="AJ15" s="5">
        <v>15.3</v>
      </c>
      <c r="AK15" s="5">
        <v>16.8</v>
      </c>
      <c r="AL15" s="5">
        <v>15.7</v>
      </c>
      <c r="AM15" s="5">
        <v>14.4</v>
      </c>
      <c r="AN15" s="5">
        <v>14.9</v>
      </c>
      <c r="AO15" s="5">
        <v>15.9</v>
      </c>
    </row>
    <row r="16" spans="1:41">
      <c r="A16" s="3" t="s">
        <v>630</v>
      </c>
      <c r="B16" s="3" t="s">
        <v>631</v>
      </c>
      <c r="C16" s="3">
        <v>8</v>
      </c>
      <c r="D16" s="3" t="s">
        <v>759</v>
      </c>
      <c r="E16" s="4">
        <v>57.6</v>
      </c>
      <c r="F16" s="3">
        <v>64.099999999999994</v>
      </c>
      <c r="G16" s="5">
        <v>35.799999999999997</v>
      </c>
      <c r="H16" s="5">
        <v>31.1</v>
      </c>
      <c r="I16" s="5">
        <v>31.4</v>
      </c>
      <c r="J16" s="5">
        <v>29.9</v>
      </c>
      <c r="K16" s="5">
        <v>29.1</v>
      </c>
      <c r="L16" s="5">
        <v>25.8</v>
      </c>
      <c r="M16" s="5">
        <v>23.2</v>
      </c>
      <c r="N16" s="5">
        <v>23.9</v>
      </c>
      <c r="O16" s="5">
        <v>24.4</v>
      </c>
      <c r="P16" s="5">
        <v>23.9</v>
      </c>
      <c r="Q16" s="5">
        <v>24.3</v>
      </c>
      <c r="R16" s="210">
        <v>23.2</v>
      </c>
      <c r="S16" s="210">
        <v>22.1</v>
      </c>
      <c r="T16" s="210">
        <v>22.7</v>
      </c>
      <c r="U16" s="5">
        <v>20.399999999999999</v>
      </c>
      <c r="V16" s="5">
        <v>20.5</v>
      </c>
      <c r="W16" s="5">
        <v>19.5</v>
      </c>
      <c r="X16" s="5">
        <v>19.600000000000001</v>
      </c>
      <c r="Y16" s="5">
        <v>18.8</v>
      </c>
      <c r="Z16" s="5">
        <v>19.5</v>
      </c>
      <c r="AA16" s="5">
        <v>16.899999999999999</v>
      </c>
      <c r="AB16" s="5">
        <v>14.9</v>
      </c>
      <c r="AC16" s="5">
        <v>16.5</v>
      </c>
      <c r="AD16" s="5">
        <v>17.2</v>
      </c>
      <c r="AE16" s="5">
        <v>15.5</v>
      </c>
      <c r="AF16" s="5">
        <v>13.2</v>
      </c>
      <c r="AG16" s="5">
        <v>12.6</v>
      </c>
      <c r="AH16" s="5">
        <v>11.9</v>
      </c>
      <c r="AI16" s="5">
        <v>13.5</v>
      </c>
      <c r="AJ16" s="5">
        <v>11.8</v>
      </c>
      <c r="AK16" s="5">
        <v>11.6</v>
      </c>
      <c r="AL16" s="5">
        <v>11</v>
      </c>
      <c r="AM16" s="5">
        <v>10.8</v>
      </c>
      <c r="AN16" s="5">
        <v>9.1999999999999993</v>
      </c>
      <c r="AO16" s="5">
        <v>9.9</v>
      </c>
    </row>
    <row r="17" spans="1:41">
      <c r="A17" s="3" t="s">
        <v>632</v>
      </c>
      <c r="B17" s="3" t="s">
        <v>633</v>
      </c>
      <c r="C17" s="3">
        <v>9</v>
      </c>
      <c r="D17" s="3" t="s">
        <v>641</v>
      </c>
      <c r="E17" s="4">
        <v>42.5</v>
      </c>
      <c r="F17" s="3">
        <v>51.7</v>
      </c>
      <c r="G17" s="5">
        <v>38.1</v>
      </c>
      <c r="H17" s="5">
        <v>40.1</v>
      </c>
      <c r="I17" s="5">
        <v>37.5</v>
      </c>
      <c r="J17" s="5">
        <v>37.200000000000003</v>
      </c>
      <c r="K17" s="5">
        <v>33.799999999999997</v>
      </c>
      <c r="L17" s="5">
        <v>30.9</v>
      </c>
      <c r="M17" s="5">
        <v>46.6</v>
      </c>
      <c r="N17" s="210">
        <v>40.5</v>
      </c>
      <c r="O17" s="5">
        <v>36.200000000000003</v>
      </c>
      <c r="P17" s="5">
        <v>32</v>
      </c>
      <c r="Q17" s="5">
        <v>33.200000000000003</v>
      </c>
      <c r="R17" s="5">
        <v>24.5</v>
      </c>
      <c r="S17" s="5">
        <v>32.299999999999997</v>
      </c>
      <c r="T17" s="5">
        <v>27.9</v>
      </c>
      <c r="U17" s="5">
        <v>30.7</v>
      </c>
      <c r="V17" s="5">
        <v>30.5</v>
      </c>
      <c r="W17" s="5">
        <v>31.4</v>
      </c>
      <c r="X17" s="5">
        <v>29.8</v>
      </c>
      <c r="Y17" s="5">
        <v>26.9</v>
      </c>
      <c r="Z17" s="5">
        <v>23.6</v>
      </c>
      <c r="AA17" s="5">
        <v>23</v>
      </c>
      <c r="AB17" s="5">
        <v>28.9</v>
      </c>
      <c r="AC17" s="5">
        <v>25.5</v>
      </c>
      <c r="AD17" s="5">
        <v>25</v>
      </c>
      <c r="AE17" s="5">
        <v>25.1</v>
      </c>
      <c r="AF17" s="5">
        <v>22.9</v>
      </c>
      <c r="AG17" s="5">
        <v>24.2</v>
      </c>
      <c r="AH17" s="5">
        <v>22.9</v>
      </c>
      <c r="AI17" s="5">
        <v>19.2</v>
      </c>
      <c r="AJ17" s="5">
        <v>20.5</v>
      </c>
      <c r="AK17" s="5">
        <v>17.8</v>
      </c>
      <c r="AL17" s="5">
        <v>21.2</v>
      </c>
      <c r="AM17" s="5">
        <v>17.3</v>
      </c>
      <c r="AN17" s="5">
        <v>14.2</v>
      </c>
      <c r="AO17" s="5">
        <v>14.2</v>
      </c>
    </row>
    <row r="18" spans="1:41">
      <c r="A18" s="3" t="s">
        <v>634</v>
      </c>
      <c r="B18" s="3" t="s">
        <v>715</v>
      </c>
      <c r="C18" s="3">
        <v>10</v>
      </c>
      <c r="D18" s="3" t="s">
        <v>664</v>
      </c>
      <c r="E18" s="4">
        <v>125.1</v>
      </c>
      <c r="F18" s="3">
        <v>128.80000000000001</v>
      </c>
      <c r="G18" s="5">
        <v>51.4</v>
      </c>
      <c r="H18" s="5">
        <v>47.5</v>
      </c>
      <c r="I18" s="5">
        <v>47.9</v>
      </c>
      <c r="J18" s="5">
        <v>42.8</v>
      </c>
      <c r="K18" s="5">
        <v>45.5</v>
      </c>
      <c r="L18" s="5">
        <v>32.799999999999997</v>
      </c>
      <c r="M18" s="5">
        <v>35.9</v>
      </c>
      <c r="N18" s="5">
        <v>35.799999999999997</v>
      </c>
      <c r="O18" s="5">
        <v>36.9</v>
      </c>
      <c r="P18" s="5">
        <v>35.4</v>
      </c>
      <c r="Q18" s="5">
        <v>35.799999999999997</v>
      </c>
      <c r="R18" s="5">
        <v>33.200000000000003</v>
      </c>
      <c r="S18" s="5">
        <v>32.5</v>
      </c>
      <c r="T18" s="5">
        <v>26.7</v>
      </c>
      <c r="U18" s="5">
        <v>25.2</v>
      </c>
      <c r="V18" s="5">
        <v>26.4</v>
      </c>
      <c r="W18" s="5">
        <v>24.4</v>
      </c>
      <c r="X18" s="5">
        <v>24</v>
      </c>
      <c r="Y18" s="5">
        <v>21.5</v>
      </c>
      <c r="Z18" s="5">
        <v>23.4</v>
      </c>
      <c r="AA18" s="5">
        <v>23.1</v>
      </c>
      <c r="AB18" s="5">
        <v>18.399999999999999</v>
      </c>
      <c r="AC18" s="5">
        <v>20.6</v>
      </c>
      <c r="AD18" s="5">
        <v>19.2</v>
      </c>
      <c r="AE18" s="5">
        <v>17.8</v>
      </c>
      <c r="AF18" s="5">
        <v>16.100000000000001</v>
      </c>
      <c r="AG18" s="5">
        <v>17</v>
      </c>
      <c r="AH18" s="5">
        <v>15.2</v>
      </c>
      <c r="AI18" s="5">
        <v>14</v>
      </c>
      <c r="AJ18" s="5">
        <v>11.5</v>
      </c>
      <c r="AK18" s="5">
        <v>13.4</v>
      </c>
      <c r="AL18" s="5">
        <v>12.9</v>
      </c>
      <c r="AM18" s="5">
        <v>12</v>
      </c>
      <c r="AN18" s="5">
        <v>11.8</v>
      </c>
      <c r="AO18" s="5">
        <v>10.3</v>
      </c>
    </row>
    <row r="19" spans="1:41">
      <c r="A19" s="3" t="s">
        <v>716</v>
      </c>
      <c r="B19" s="3" t="s">
        <v>717</v>
      </c>
      <c r="C19" s="3">
        <v>11</v>
      </c>
      <c r="D19" s="3" t="s">
        <v>541</v>
      </c>
      <c r="E19" s="4">
        <v>62.9</v>
      </c>
      <c r="F19" s="3">
        <v>36.4</v>
      </c>
      <c r="G19" s="5">
        <v>30.3</v>
      </c>
      <c r="H19" s="5">
        <v>37.4</v>
      </c>
      <c r="I19" s="5">
        <v>26.1</v>
      </c>
      <c r="J19" s="5">
        <v>26.2</v>
      </c>
      <c r="K19" s="5">
        <v>29.1</v>
      </c>
      <c r="L19" s="5">
        <v>24.7</v>
      </c>
      <c r="M19" s="5">
        <v>29.1</v>
      </c>
      <c r="N19" s="5">
        <v>21.1</v>
      </c>
      <c r="O19" s="5">
        <v>24.1</v>
      </c>
      <c r="P19" s="5">
        <v>23.5</v>
      </c>
      <c r="Q19" s="5">
        <v>22.2</v>
      </c>
      <c r="R19" s="210">
        <v>20.5</v>
      </c>
      <c r="S19" s="5">
        <v>21.3</v>
      </c>
      <c r="T19" s="5">
        <v>17.899999999999999</v>
      </c>
      <c r="U19" s="5">
        <v>15</v>
      </c>
      <c r="V19" s="5">
        <v>17.399999999999999</v>
      </c>
      <c r="W19" s="5">
        <v>12.4</v>
      </c>
      <c r="X19" s="5">
        <v>12.1</v>
      </c>
      <c r="Y19" s="5">
        <v>14</v>
      </c>
      <c r="Z19" s="5">
        <v>15.2</v>
      </c>
      <c r="AA19" s="5">
        <v>15.3</v>
      </c>
      <c r="AB19" s="5">
        <v>12.4</v>
      </c>
      <c r="AC19" s="5">
        <v>13.1</v>
      </c>
      <c r="AD19" s="5">
        <v>12.7</v>
      </c>
      <c r="AE19" s="5">
        <v>14.6</v>
      </c>
      <c r="AF19" s="5">
        <v>11.4</v>
      </c>
      <c r="AG19" s="5">
        <v>10</v>
      </c>
      <c r="AH19" s="5">
        <v>11.8</v>
      </c>
      <c r="AI19" s="5">
        <v>14.9</v>
      </c>
      <c r="AJ19" s="5">
        <v>13.7</v>
      </c>
      <c r="AK19" s="5">
        <v>7</v>
      </c>
      <c r="AL19" s="5">
        <v>10.4</v>
      </c>
      <c r="AM19" s="5">
        <v>8.9</v>
      </c>
      <c r="AN19" s="5">
        <v>9.9</v>
      </c>
      <c r="AO19" s="5">
        <v>6.8</v>
      </c>
    </row>
    <row r="20" spans="1:41">
      <c r="A20" s="3" t="s">
        <v>718</v>
      </c>
      <c r="B20" s="3" t="s">
        <v>719</v>
      </c>
      <c r="C20" s="3">
        <v>12</v>
      </c>
      <c r="D20" s="3" t="s">
        <v>664</v>
      </c>
      <c r="E20" s="4">
        <v>77.400000000000006</v>
      </c>
      <c r="F20" s="3">
        <v>83.6</v>
      </c>
      <c r="G20" s="5">
        <v>45.8</v>
      </c>
      <c r="H20" s="5">
        <v>42.5</v>
      </c>
      <c r="I20" s="5">
        <v>43.4</v>
      </c>
      <c r="J20" s="5">
        <v>41.2</v>
      </c>
      <c r="K20" s="5">
        <v>45.4</v>
      </c>
      <c r="L20" s="5">
        <v>30.2</v>
      </c>
      <c r="M20" s="5">
        <v>32.4</v>
      </c>
      <c r="N20" s="5">
        <v>33.6</v>
      </c>
      <c r="O20" s="5">
        <v>33</v>
      </c>
      <c r="P20" s="5">
        <v>34.700000000000003</v>
      </c>
      <c r="Q20" s="5">
        <v>28.8</v>
      </c>
      <c r="R20" s="5">
        <v>27.2</v>
      </c>
      <c r="S20" s="210">
        <v>26</v>
      </c>
      <c r="T20" s="5">
        <v>24.1</v>
      </c>
      <c r="U20" s="5">
        <v>22.8</v>
      </c>
      <c r="V20" s="5">
        <v>22.1</v>
      </c>
      <c r="W20" s="5">
        <v>25.7</v>
      </c>
      <c r="X20" s="5">
        <v>19.3</v>
      </c>
      <c r="Y20" s="5">
        <v>22.9</v>
      </c>
      <c r="Z20" s="5">
        <v>20.6</v>
      </c>
      <c r="AA20" s="5">
        <v>20.9</v>
      </c>
      <c r="AB20" s="5">
        <v>23.5</v>
      </c>
      <c r="AC20" s="5">
        <v>20.8</v>
      </c>
      <c r="AD20" s="5">
        <v>17.3</v>
      </c>
      <c r="AE20" s="5">
        <v>18.2</v>
      </c>
      <c r="AF20" s="5">
        <v>13.8</v>
      </c>
      <c r="AG20" s="5">
        <v>14.1</v>
      </c>
      <c r="AH20" s="5">
        <v>12.9</v>
      </c>
      <c r="AI20" s="5">
        <v>15</v>
      </c>
      <c r="AJ20" s="5">
        <v>14.6</v>
      </c>
      <c r="AK20" s="5">
        <v>12.6</v>
      </c>
      <c r="AL20" s="5">
        <v>16.5</v>
      </c>
      <c r="AM20" s="5">
        <v>13.7</v>
      </c>
      <c r="AN20" s="5">
        <v>12</v>
      </c>
      <c r="AO20" s="5">
        <v>13.4</v>
      </c>
    </row>
    <row r="21" spans="1:41">
      <c r="A21" s="3" t="s">
        <v>711</v>
      </c>
      <c r="B21" s="3" t="s">
        <v>712</v>
      </c>
      <c r="C21" s="3">
        <v>13</v>
      </c>
      <c r="D21" s="3" t="s">
        <v>713</v>
      </c>
      <c r="E21" s="4">
        <v>56.1</v>
      </c>
      <c r="F21" s="3">
        <v>55.1</v>
      </c>
      <c r="G21" s="5">
        <v>31.8</v>
      </c>
      <c r="H21" s="5">
        <v>25.9</v>
      </c>
      <c r="I21" s="5">
        <v>25</v>
      </c>
      <c r="J21" s="5">
        <v>25.3</v>
      </c>
      <c r="K21" s="5">
        <v>26.2</v>
      </c>
      <c r="L21" s="5">
        <v>25.2</v>
      </c>
      <c r="M21" s="5">
        <v>27.4</v>
      </c>
      <c r="N21" s="5">
        <v>24.1</v>
      </c>
      <c r="O21" s="5">
        <v>24.6</v>
      </c>
      <c r="P21" s="5">
        <v>25.2</v>
      </c>
      <c r="Q21" s="5">
        <v>21.1</v>
      </c>
      <c r="R21" s="210">
        <v>23.6</v>
      </c>
      <c r="S21" s="5">
        <v>22.1</v>
      </c>
      <c r="T21" s="5">
        <v>20.5</v>
      </c>
      <c r="U21" s="5">
        <v>18.8</v>
      </c>
      <c r="V21" s="5">
        <v>18.399999999999999</v>
      </c>
      <c r="W21" s="5">
        <v>17.5</v>
      </c>
      <c r="X21" s="5">
        <v>16.7</v>
      </c>
      <c r="Y21" s="5">
        <v>15.6</v>
      </c>
      <c r="Z21" s="5">
        <v>16.2</v>
      </c>
      <c r="AA21" s="5">
        <v>14.3</v>
      </c>
      <c r="AB21" s="5">
        <v>12.1</v>
      </c>
      <c r="AC21" s="5">
        <v>12.3</v>
      </c>
      <c r="AD21" s="5">
        <v>11.1</v>
      </c>
      <c r="AE21" s="5">
        <v>13.5</v>
      </c>
      <c r="AF21" s="5">
        <v>11.3</v>
      </c>
      <c r="AG21" s="5">
        <v>11.9</v>
      </c>
      <c r="AH21" s="5">
        <v>11.3</v>
      </c>
      <c r="AI21" s="5">
        <v>10.8</v>
      </c>
      <c r="AJ21" s="5">
        <v>9.9</v>
      </c>
      <c r="AK21" s="5">
        <v>11.7</v>
      </c>
      <c r="AL21" s="5">
        <v>9.6999999999999993</v>
      </c>
      <c r="AM21" s="5">
        <v>9.5</v>
      </c>
      <c r="AN21" s="5">
        <v>8.5</v>
      </c>
      <c r="AO21" s="5">
        <v>9.8000000000000007</v>
      </c>
    </row>
    <row r="22" spans="1:41">
      <c r="A22" s="3" t="s">
        <v>714</v>
      </c>
      <c r="B22" s="3" t="s">
        <v>530</v>
      </c>
      <c r="C22" s="3">
        <v>14</v>
      </c>
      <c r="D22" s="3" t="s">
        <v>641</v>
      </c>
      <c r="E22" s="4">
        <v>59.1</v>
      </c>
      <c r="F22" s="3">
        <v>72.2</v>
      </c>
      <c r="G22" s="5">
        <v>51.9</v>
      </c>
      <c r="H22" s="5">
        <v>47.9</v>
      </c>
      <c r="I22" s="5">
        <v>34.9</v>
      </c>
      <c r="J22" s="5">
        <v>39.5</v>
      </c>
      <c r="K22" s="5">
        <v>40.1</v>
      </c>
      <c r="L22" s="5">
        <v>33.6</v>
      </c>
      <c r="M22" s="5">
        <v>33.9</v>
      </c>
      <c r="N22" s="5">
        <v>33.5</v>
      </c>
      <c r="O22" s="5">
        <v>30</v>
      </c>
      <c r="P22" s="210">
        <v>30</v>
      </c>
      <c r="Q22" s="5">
        <v>31.8</v>
      </c>
      <c r="R22" s="5">
        <v>32.1</v>
      </c>
      <c r="S22" s="5">
        <v>27</v>
      </c>
      <c r="T22" s="5">
        <v>29.8</v>
      </c>
      <c r="U22" s="5">
        <v>23.1</v>
      </c>
      <c r="V22" s="5">
        <v>23.2</v>
      </c>
      <c r="W22" s="5">
        <v>24.1</v>
      </c>
      <c r="X22" s="5">
        <v>21.3</v>
      </c>
      <c r="Y22" s="5">
        <v>20</v>
      </c>
      <c r="Z22" s="5">
        <v>21.7</v>
      </c>
      <c r="AA22" s="5">
        <v>22.2</v>
      </c>
      <c r="AB22" s="5">
        <v>19.600000000000001</v>
      </c>
      <c r="AC22" s="5">
        <v>22.3</v>
      </c>
      <c r="AD22" s="5">
        <v>20.2</v>
      </c>
      <c r="AE22" s="5">
        <v>16.600000000000001</v>
      </c>
      <c r="AF22" s="5">
        <v>14.6</v>
      </c>
      <c r="AG22" s="5">
        <v>17.100000000000001</v>
      </c>
      <c r="AH22" s="5">
        <v>14.6</v>
      </c>
      <c r="AI22" s="5">
        <v>13.9</v>
      </c>
      <c r="AJ22" s="5">
        <v>13</v>
      </c>
      <c r="AK22" s="5">
        <v>13.2</v>
      </c>
      <c r="AL22" s="5">
        <v>11.2</v>
      </c>
      <c r="AM22" s="5">
        <v>11.3</v>
      </c>
      <c r="AN22" s="5">
        <v>10.4</v>
      </c>
      <c r="AO22" s="5">
        <v>9.6999999999999993</v>
      </c>
    </row>
    <row r="23" spans="1:41">
      <c r="A23" s="3" t="s">
        <v>620</v>
      </c>
      <c r="B23" s="3" t="s">
        <v>621</v>
      </c>
      <c r="C23" s="3">
        <v>15</v>
      </c>
      <c r="D23" s="3" t="s">
        <v>541</v>
      </c>
      <c r="E23" s="4">
        <v>117.9</v>
      </c>
      <c r="F23" s="3">
        <v>102.1</v>
      </c>
      <c r="G23" s="5">
        <v>31.7</v>
      </c>
      <c r="H23" s="5">
        <v>29.5</v>
      </c>
      <c r="I23" s="5">
        <v>27</v>
      </c>
      <c r="J23" s="5">
        <v>24.4</v>
      </c>
      <c r="K23" s="5">
        <v>27.6</v>
      </c>
      <c r="L23" s="5">
        <v>23.6</v>
      </c>
      <c r="M23" s="5">
        <v>24</v>
      </c>
      <c r="N23" s="5">
        <v>23.8</v>
      </c>
      <c r="O23" s="5">
        <v>21</v>
      </c>
      <c r="P23" s="5">
        <v>21.9</v>
      </c>
      <c r="Q23" s="5">
        <v>16.899999999999999</v>
      </c>
      <c r="R23" s="5">
        <v>15.6</v>
      </c>
      <c r="S23" s="5">
        <v>16.2</v>
      </c>
      <c r="T23" s="5">
        <v>16.2</v>
      </c>
      <c r="U23" s="5">
        <v>15.3</v>
      </c>
      <c r="V23" s="5">
        <v>14.1</v>
      </c>
      <c r="W23" s="5">
        <v>15.7</v>
      </c>
      <c r="X23" s="5">
        <v>13.8</v>
      </c>
      <c r="Y23" s="5">
        <v>14.8</v>
      </c>
      <c r="Z23" s="5">
        <v>12.4</v>
      </c>
      <c r="AA23" s="5">
        <v>11.4</v>
      </c>
      <c r="AB23" s="5">
        <v>13</v>
      </c>
      <c r="AC23" s="5">
        <v>11.7</v>
      </c>
      <c r="AD23" s="5">
        <v>10.8</v>
      </c>
      <c r="AE23" s="5">
        <v>11.1</v>
      </c>
      <c r="AF23" s="5">
        <v>9.9</v>
      </c>
      <c r="AG23" s="5">
        <v>9.8000000000000007</v>
      </c>
      <c r="AH23" s="5">
        <v>9.6</v>
      </c>
      <c r="AI23" s="5">
        <v>7.4</v>
      </c>
      <c r="AJ23" s="5">
        <v>7.6</v>
      </c>
      <c r="AK23" s="5">
        <v>9.1999999999999993</v>
      </c>
      <c r="AL23" s="5">
        <v>7.5</v>
      </c>
      <c r="AM23" s="5">
        <v>6.9</v>
      </c>
      <c r="AN23" s="5">
        <v>10.3</v>
      </c>
      <c r="AO23" s="5">
        <v>9.1999999999999993</v>
      </c>
    </row>
    <row r="24" spans="1:41">
      <c r="A24" s="3" t="s">
        <v>622</v>
      </c>
      <c r="B24" s="3" t="s">
        <v>925</v>
      </c>
      <c r="C24" s="3">
        <v>16</v>
      </c>
      <c r="D24" s="3" t="s">
        <v>541</v>
      </c>
      <c r="E24" s="4">
        <v>112.8</v>
      </c>
      <c r="F24" s="3">
        <v>87.2</v>
      </c>
      <c r="G24" s="5">
        <v>35.700000000000003</v>
      </c>
      <c r="H24" s="5">
        <v>37.6</v>
      </c>
      <c r="I24" s="5">
        <v>32.5</v>
      </c>
      <c r="J24" s="5">
        <v>32.200000000000003</v>
      </c>
      <c r="K24" s="5">
        <v>31.3</v>
      </c>
      <c r="L24" s="5">
        <v>26.3</v>
      </c>
      <c r="M24" s="210">
        <v>27.8</v>
      </c>
      <c r="N24" s="5">
        <v>28.3</v>
      </c>
      <c r="O24" s="5">
        <v>25</v>
      </c>
      <c r="P24" s="5">
        <v>25.5</v>
      </c>
      <c r="Q24" s="5">
        <v>23.1</v>
      </c>
      <c r="R24" s="5">
        <v>24.1</v>
      </c>
      <c r="S24" s="5">
        <v>22.7</v>
      </c>
      <c r="T24" s="5">
        <v>21.4</v>
      </c>
      <c r="U24" s="5">
        <v>19.600000000000001</v>
      </c>
      <c r="V24" s="5">
        <v>20.8</v>
      </c>
      <c r="W24" s="5">
        <v>16.2</v>
      </c>
      <c r="X24" s="5">
        <v>15.5</v>
      </c>
      <c r="Y24" s="5">
        <v>17.7</v>
      </c>
      <c r="Z24" s="5">
        <v>15.8</v>
      </c>
      <c r="AA24" s="5">
        <v>16.600000000000001</v>
      </c>
      <c r="AB24" s="5">
        <v>14.7</v>
      </c>
      <c r="AC24" s="5">
        <v>14.8</v>
      </c>
      <c r="AD24" s="5">
        <v>15.9</v>
      </c>
      <c r="AE24" s="5">
        <v>14.1</v>
      </c>
      <c r="AF24" s="5">
        <v>9.4</v>
      </c>
      <c r="AG24" s="5">
        <v>9.3000000000000007</v>
      </c>
      <c r="AH24" s="5">
        <v>9.8000000000000007</v>
      </c>
      <c r="AI24" s="5">
        <v>11.7</v>
      </c>
      <c r="AJ24" s="5">
        <v>8.8000000000000007</v>
      </c>
      <c r="AK24" s="5">
        <v>9.4</v>
      </c>
      <c r="AL24" s="5">
        <v>9.6</v>
      </c>
      <c r="AM24" s="5">
        <v>9.4</v>
      </c>
      <c r="AN24" s="5">
        <v>11.4</v>
      </c>
      <c r="AO24" s="5">
        <v>8.6999999999999993</v>
      </c>
    </row>
    <row r="25" spans="1:41">
      <c r="A25" s="3" t="s">
        <v>926</v>
      </c>
      <c r="B25" s="3" t="s">
        <v>927</v>
      </c>
      <c r="C25" s="3">
        <v>17</v>
      </c>
      <c r="D25" s="3" t="s">
        <v>664</v>
      </c>
      <c r="E25" s="4">
        <v>102.3</v>
      </c>
      <c r="F25" s="3">
        <v>109.1</v>
      </c>
      <c r="G25" s="5">
        <v>52.1</v>
      </c>
      <c r="H25" s="5">
        <v>51.4</v>
      </c>
      <c r="I25" s="5">
        <v>46.2</v>
      </c>
      <c r="J25" s="5">
        <v>49.2</v>
      </c>
      <c r="K25" s="5">
        <v>44.6</v>
      </c>
      <c r="L25" s="5">
        <v>34</v>
      </c>
      <c r="M25" s="5">
        <v>32.5</v>
      </c>
      <c r="N25" s="210">
        <v>32.6</v>
      </c>
      <c r="O25" s="210">
        <v>32.6</v>
      </c>
      <c r="P25" s="210">
        <v>32.299999999999997</v>
      </c>
      <c r="Q25" s="210">
        <v>32.299999999999997</v>
      </c>
      <c r="R25" s="210">
        <v>32.9</v>
      </c>
      <c r="S25" s="210">
        <v>32.799999999999997</v>
      </c>
      <c r="T25" s="210">
        <v>27.7</v>
      </c>
      <c r="U25" s="210">
        <v>29.8</v>
      </c>
      <c r="V25" s="5">
        <v>26.8</v>
      </c>
      <c r="W25" s="5">
        <v>25.5</v>
      </c>
      <c r="X25" s="5">
        <v>20.5</v>
      </c>
      <c r="Y25" s="5">
        <v>22.6</v>
      </c>
      <c r="Z25" s="5">
        <v>21.2</v>
      </c>
      <c r="AA25" s="5">
        <v>18.8</v>
      </c>
      <c r="AB25" s="5">
        <v>19.100000000000001</v>
      </c>
      <c r="AC25" s="5">
        <v>18.899999999999999</v>
      </c>
      <c r="AD25" s="5">
        <v>16.899999999999999</v>
      </c>
      <c r="AE25" s="5">
        <v>15.4</v>
      </c>
      <c r="AF25" s="5">
        <v>14.3</v>
      </c>
      <c r="AG25" s="5">
        <v>14.9</v>
      </c>
      <c r="AH25" s="5">
        <v>15.4</v>
      </c>
      <c r="AI25" s="5">
        <v>14.4</v>
      </c>
      <c r="AJ25" s="5">
        <v>14</v>
      </c>
      <c r="AK25" s="5">
        <v>12.8</v>
      </c>
      <c r="AL25" s="5">
        <v>14</v>
      </c>
      <c r="AM25" s="5">
        <v>12.9</v>
      </c>
      <c r="AN25" s="5">
        <v>14.1</v>
      </c>
      <c r="AO25" s="5">
        <v>12.8</v>
      </c>
    </row>
    <row r="26" spans="1:41">
      <c r="A26" s="3" t="s">
        <v>928</v>
      </c>
      <c r="B26" s="3" t="s">
        <v>929</v>
      </c>
      <c r="C26" s="3">
        <v>18</v>
      </c>
      <c r="D26" s="3" t="s">
        <v>713</v>
      </c>
      <c r="E26" s="4">
        <v>70.8</v>
      </c>
      <c r="F26" s="3">
        <v>79.7</v>
      </c>
      <c r="G26" s="5">
        <v>30.1</v>
      </c>
      <c r="H26" s="5">
        <v>32.4</v>
      </c>
      <c r="I26" s="5">
        <v>30.5</v>
      </c>
      <c r="J26" s="5">
        <v>29.1</v>
      </c>
      <c r="K26" s="5">
        <v>28.6</v>
      </c>
      <c r="L26" s="5">
        <v>27.6</v>
      </c>
      <c r="M26" s="5">
        <v>26.5</v>
      </c>
      <c r="N26" s="5">
        <v>27.5</v>
      </c>
      <c r="O26" s="5">
        <v>25.5</v>
      </c>
      <c r="P26" s="5">
        <v>27.9</v>
      </c>
      <c r="Q26" s="5">
        <v>24.4</v>
      </c>
      <c r="R26" s="5">
        <v>24.6</v>
      </c>
      <c r="S26" s="5">
        <v>23.7</v>
      </c>
      <c r="T26" s="5">
        <v>21.3</v>
      </c>
      <c r="U26" s="5">
        <v>21.3</v>
      </c>
      <c r="V26" s="5">
        <v>25.2</v>
      </c>
      <c r="W26" s="5">
        <v>21.6</v>
      </c>
      <c r="X26" s="5">
        <v>21.5</v>
      </c>
      <c r="Y26" s="5">
        <v>21.7</v>
      </c>
      <c r="Z26" s="5">
        <v>20.7</v>
      </c>
      <c r="AA26" s="5">
        <v>19.399999999999999</v>
      </c>
      <c r="AB26" s="5">
        <v>18.8</v>
      </c>
      <c r="AC26" s="5">
        <v>20.2</v>
      </c>
      <c r="AD26" s="5">
        <v>19.600000000000001</v>
      </c>
      <c r="AE26" s="5">
        <v>16.399999999999999</v>
      </c>
      <c r="AF26" s="5">
        <v>16.7</v>
      </c>
      <c r="AG26" s="5">
        <v>14</v>
      </c>
      <c r="AH26" s="5">
        <v>13.2</v>
      </c>
      <c r="AI26" s="5">
        <v>14.4</v>
      </c>
      <c r="AJ26" s="5">
        <v>11</v>
      </c>
      <c r="AK26" s="5">
        <v>11</v>
      </c>
      <c r="AL26" s="5">
        <v>9.9</v>
      </c>
      <c r="AM26" s="5">
        <v>9.9</v>
      </c>
      <c r="AN26" s="5">
        <v>12.3</v>
      </c>
      <c r="AO26" s="5">
        <v>11.1</v>
      </c>
    </row>
    <row r="27" spans="1:41">
      <c r="A27" s="3" t="s">
        <v>841</v>
      </c>
      <c r="B27" s="3" t="s">
        <v>659</v>
      </c>
      <c r="C27" s="3">
        <v>19</v>
      </c>
      <c r="D27" s="3" t="s">
        <v>713</v>
      </c>
      <c r="E27" s="4">
        <v>102.5</v>
      </c>
      <c r="F27" s="3">
        <v>73.5</v>
      </c>
      <c r="G27" s="5">
        <v>37.200000000000003</v>
      </c>
      <c r="H27" s="5">
        <v>36.5</v>
      </c>
      <c r="I27" s="5">
        <v>33.4</v>
      </c>
      <c r="J27" s="5">
        <v>36.4</v>
      </c>
      <c r="K27" s="5">
        <v>34.9</v>
      </c>
      <c r="L27" s="210">
        <v>32.799999999999997</v>
      </c>
      <c r="M27" s="210">
        <v>34</v>
      </c>
      <c r="N27" s="210">
        <v>32.9</v>
      </c>
      <c r="O27" s="210">
        <v>33.700000000000003</v>
      </c>
      <c r="P27" s="210">
        <v>33.799999999999997</v>
      </c>
      <c r="Q27" s="210">
        <v>29.7</v>
      </c>
      <c r="R27" s="5">
        <v>28.6</v>
      </c>
      <c r="S27" s="210">
        <v>23.7</v>
      </c>
      <c r="T27" s="5">
        <v>26.2</v>
      </c>
      <c r="U27" s="5">
        <v>27.6</v>
      </c>
      <c r="V27" s="5">
        <v>23.1</v>
      </c>
      <c r="W27" s="5">
        <v>20.6</v>
      </c>
      <c r="X27" s="5">
        <v>19.899999999999999</v>
      </c>
      <c r="Y27" s="5">
        <v>20.6</v>
      </c>
      <c r="Z27" s="5">
        <v>18.899999999999999</v>
      </c>
      <c r="AA27" s="5">
        <v>17.2</v>
      </c>
      <c r="AB27" s="5">
        <v>17.8</v>
      </c>
      <c r="AC27" s="5">
        <v>16.5</v>
      </c>
      <c r="AD27" s="5">
        <v>17.399999999999999</v>
      </c>
      <c r="AE27" s="5">
        <v>15.2</v>
      </c>
      <c r="AF27" s="5">
        <v>16</v>
      </c>
      <c r="AG27" s="5">
        <v>12.8</v>
      </c>
      <c r="AH27" s="5">
        <v>15.7</v>
      </c>
      <c r="AI27" s="5">
        <v>13.1</v>
      </c>
      <c r="AJ27" s="5">
        <v>12.9</v>
      </c>
      <c r="AK27" s="5">
        <v>10.7</v>
      </c>
      <c r="AL27" s="5">
        <v>12.3</v>
      </c>
      <c r="AM27" s="5">
        <v>10.9</v>
      </c>
      <c r="AN27" s="5">
        <v>8.6</v>
      </c>
      <c r="AO27" s="5">
        <v>11</v>
      </c>
    </row>
    <row r="28" spans="1:41">
      <c r="A28" s="3" t="s">
        <v>660</v>
      </c>
      <c r="B28" s="3" t="s">
        <v>661</v>
      </c>
      <c r="C28" s="3">
        <v>20</v>
      </c>
      <c r="D28" s="3" t="s">
        <v>541</v>
      </c>
      <c r="E28" s="4">
        <v>69</v>
      </c>
      <c r="F28" s="3">
        <v>46.1</v>
      </c>
      <c r="G28" s="5">
        <v>34.4</v>
      </c>
      <c r="H28" s="5">
        <v>32.799999999999997</v>
      </c>
      <c r="I28" s="5">
        <v>27.8</v>
      </c>
      <c r="J28" s="5">
        <v>24.7</v>
      </c>
      <c r="K28" s="5">
        <v>27.1</v>
      </c>
      <c r="L28" s="5">
        <v>22</v>
      </c>
      <c r="M28" s="5">
        <v>20.6</v>
      </c>
      <c r="N28" s="5">
        <v>24.6</v>
      </c>
      <c r="O28" s="5">
        <v>27.7</v>
      </c>
      <c r="P28" s="5">
        <v>21.8</v>
      </c>
      <c r="Q28" s="210">
        <v>20.7</v>
      </c>
      <c r="R28" s="210">
        <v>19.899999999999999</v>
      </c>
      <c r="S28" s="210">
        <v>20.6</v>
      </c>
      <c r="T28" s="5">
        <v>18.5</v>
      </c>
      <c r="U28" s="5">
        <v>15.9</v>
      </c>
      <c r="V28" s="5">
        <v>21.9</v>
      </c>
      <c r="W28" s="5">
        <v>12.8</v>
      </c>
      <c r="X28" s="5">
        <v>16</v>
      </c>
      <c r="Y28" s="5">
        <v>18</v>
      </c>
      <c r="Z28" s="5">
        <v>13.2</v>
      </c>
      <c r="AA28" s="5">
        <v>17.2</v>
      </c>
      <c r="AB28" s="5">
        <v>14.5</v>
      </c>
      <c r="AC28" s="5">
        <v>17.2</v>
      </c>
      <c r="AD28" s="5">
        <v>15.5</v>
      </c>
      <c r="AE28" s="5">
        <v>11.9</v>
      </c>
      <c r="AF28" s="5">
        <v>11</v>
      </c>
      <c r="AG28" s="5">
        <v>15.4</v>
      </c>
      <c r="AH28" s="5">
        <v>12.9</v>
      </c>
      <c r="AI28" s="5">
        <v>10.6</v>
      </c>
      <c r="AJ28" s="5">
        <v>10.3</v>
      </c>
      <c r="AK28" s="5">
        <v>9.6999999999999993</v>
      </c>
      <c r="AL28" s="5">
        <v>9.6999999999999993</v>
      </c>
      <c r="AM28" s="5">
        <v>8.9</v>
      </c>
      <c r="AN28" s="5">
        <v>9.5</v>
      </c>
      <c r="AO28" s="5">
        <v>9.9</v>
      </c>
    </row>
    <row r="29" spans="1:41">
      <c r="A29" s="3" t="s">
        <v>80</v>
      </c>
      <c r="B29" s="3" t="s">
        <v>747</v>
      </c>
      <c r="C29" s="3">
        <v>21</v>
      </c>
      <c r="D29" s="3" t="s">
        <v>759</v>
      </c>
      <c r="E29" s="4">
        <v>52.1</v>
      </c>
      <c r="F29" s="3">
        <v>56.3</v>
      </c>
      <c r="G29" s="5">
        <v>34.299999999999997</v>
      </c>
      <c r="H29" s="5">
        <v>32.200000000000003</v>
      </c>
      <c r="I29" s="5">
        <v>32.200000000000003</v>
      </c>
      <c r="J29" s="5">
        <v>30.6</v>
      </c>
      <c r="K29" s="210">
        <v>28.5</v>
      </c>
      <c r="L29" s="210">
        <v>28.7</v>
      </c>
      <c r="M29" s="210">
        <v>29.4</v>
      </c>
      <c r="N29" s="5">
        <v>26</v>
      </c>
      <c r="O29" s="5">
        <v>26.5</v>
      </c>
      <c r="P29" s="5">
        <v>28.3</v>
      </c>
      <c r="Q29" s="5">
        <v>28.3</v>
      </c>
      <c r="R29" s="5">
        <v>22.2</v>
      </c>
      <c r="S29" s="5">
        <v>20.9</v>
      </c>
      <c r="T29" s="5">
        <v>19.8</v>
      </c>
      <c r="U29" s="5">
        <v>17.8</v>
      </c>
      <c r="V29" s="5">
        <v>17.600000000000001</v>
      </c>
      <c r="W29" s="5">
        <v>15.7</v>
      </c>
      <c r="X29" s="5">
        <v>16.3</v>
      </c>
      <c r="Y29" s="5">
        <v>16.2</v>
      </c>
      <c r="Z29" s="5">
        <v>15.2</v>
      </c>
      <c r="AA29" s="5">
        <v>14.4</v>
      </c>
      <c r="AB29" s="5">
        <v>14.3</v>
      </c>
      <c r="AC29" s="5">
        <v>14</v>
      </c>
      <c r="AD29" s="5">
        <v>13.9</v>
      </c>
      <c r="AE29" s="5">
        <v>12</v>
      </c>
      <c r="AF29" s="5">
        <v>12.4</v>
      </c>
      <c r="AG29" s="5">
        <v>11</v>
      </c>
      <c r="AH29" s="5">
        <v>11.6</v>
      </c>
      <c r="AI29" s="5">
        <v>11.5</v>
      </c>
      <c r="AJ29" s="5">
        <v>11.1</v>
      </c>
      <c r="AK29" s="5">
        <v>10.3</v>
      </c>
      <c r="AL29" s="5">
        <v>10.8</v>
      </c>
      <c r="AM29" s="5">
        <v>10.3</v>
      </c>
      <c r="AN29" s="5">
        <v>9.8000000000000007</v>
      </c>
      <c r="AO29" s="5">
        <v>10.4</v>
      </c>
    </row>
    <row r="30" spans="1:41">
      <c r="A30" s="3" t="s">
        <v>721</v>
      </c>
      <c r="B30" s="3" t="s">
        <v>722</v>
      </c>
      <c r="C30" s="3">
        <v>22</v>
      </c>
      <c r="D30" s="3" t="s">
        <v>664</v>
      </c>
      <c r="E30" s="4">
        <v>52</v>
      </c>
      <c r="F30" s="3">
        <v>51.3</v>
      </c>
      <c r="G30" s="5">
        <v>35.1</v>
      </c>
      <c r="H30" s="5">
        <v>31.2</v>
      </c>
      <c r="I30" s="5">
        <v>24.9</v>
      </c>
      <c r="J30" s="5">
        <v>29</v>
      </c>
      <c r="K30" s="210">
        <v>30</v>
      </c>
      <c r="L30" s="5">
        <v>25.3</v>
      </c>
      <c r="M30" s="210">
        <v>26.6</v>
      </c>
      <c r="N30" s="210">
        <v>27.6</v>
      </c>
      <c r="O30" s="210">
        <v>27.4</v>
      </c>
      <c r="P30" s="210">
        <v>28.6</v>
      </c>
      <c r="Q30" s="210">
        <v>28.3</v>
      </c>
      <c r="R30" s="210">
        <v>29.2</v>
      </c>
      <c r="S30" s="210">
        <v>28.7</v>
      </c>
      <c r="T30" s="210">
        <v>28.9</v>
      </c>
      <c r="U30" s="210">
        <v>29</v>
      </c>
      <c r="V30" s="5">
        <v>23.3</v>
      </c>
      <c r="W30" s="5">
        <v>17.100000000000001</v>
      </c>
      <c r="X30" s="5">
        <v>16.600000000000001</v>
      </c>
      <c r="Y30" s="5">
        <v>18.100000000000001</v>
      </c>
      <c r="Z30" s="5">
        <v>15.5</v>
      </c>
      <c r="AA30" s="5">
        <v>13.2</v>
      </c>
      <c r="AB30" s="5">
        <v>14.8</v>
      </c>
      <c r="AC30" s="5">
        <v>12.4</v>
      </c>
      <c r="AD30" s="5">
        <v>14.2</v>
      </c>
      <c r="AE30" s="5">
        <v>13.8</v>
      </c>
      <c r="AF30" s="5">
        <v>11.7</v>
      </c>
      <c r="AG30" s="5">
        <v>12.1</v>
      </c>
      <c r="AH30" s="5">
        <v>13.8</v>
      </c>
      <c r="AI30" s="5">
        <v>10.4</v>
      </c>
      <c r="AJ30" s="5">
        <v>12.1</v>
      </c>
      <c r="AK30" s="5">
        <v>14</v>
      </c>
      <c r="AL30" s="5">
        <v>11.7</v>
      </c>
      <c r="AM30" s="5">
        <v>11.6</v>
      </c>
      <c r="AN30" s="5">
        <v>11.5</v>
      </c>
      <c r="AO30" s="5">
        <v>10.9</v>
      </c>
    </row>
    <row r="31" spans="1:41">
      <c r="A31" s="3" t="s">
        <v>723</v>
      </c>
      <c r="B31" s="3" t="s">
        <v>724</v>
      </c>
      <c r="C31" s="3">
        <v>23</v>
      </c>
      <c r="D31" s="3" t="s">
        <v>541</v>
      </c>
      <c r="E31" s="4">
        <v>55.5</v>
      </c>
      <c r="F31" s="11">
        <v>53.7</v>
      </c>
      <c r="G31" s="5">
        <v>20.3</v>
      </c>
      <c r="H31" s="5">
        <v>27</v>
      </c>
      <c r="I31" s="5">
        <v>10.5</v>
      </c>
      <c r="J31" s="5">
        <v>13.5</v>
      </c>
      <c r="K31" s="210">
        <v>13.8</v>
      </c>
      <c r="L31" s="210">
        <v>9.4</v>
      </c>
      <c r="M31" s="5">
        <v>22.9</v>
      </c>
      <c r="N31" s="5">
        <v>20</v>
      </c>
      <c r="O31" s="210">
        <v>19.3</v>
      </c>
      <c r="P31" s="210">
        <v>18</v>
      </c>
      <c r="Q31" s="210">
        <v>27.9</v>
      </c>
      <c r="R31" s="210">
        <v>16.7</v>
      </c>
      <c r="S31" s="5">
        <v>11.2</v>
      </c>
      <c r="T31" s="5">
        <v>15.2</v>
      </c>
      <c r="U31" s="5">
        <v>13.6</v>
      </c>
      <c r="V31" s="5">
        <v>11.1</v>
      </c>
      <c r="W31" s="5">
        <v>9.6999999999999993</v>
      </c>
      <c r="X31" s="5">
        <v>11.2</v>
      </c>
      <c r="Y31" s="5">
        <v>11.9</v>
      </c>
      <c r="Z31" s="5">
        <v>7.8</v>
      </c>
      <c r="AA31" s="5">
        <v>10.5</v>
      </c>
      <c r="AB31" s="5">
        <v>10.1</v>
      </c>
      <c r="AC31" s="5">
        <v>9.1</v>
      </c>
      <c r="AD31" s="5">
        <v>8.4</v>
      </c>
      <c r="AE31" s="5">
        <v>4.0999999999999996</v>
      </c>
      <c r="AF31" s="5">
        <v>6.7</v>
      </c>
      <c r="AG31" s="5">
        <v>10.9</v>
      </c>
      <c r="AH31" s="5">
        <v>10.199999999999999</v>
      </c>
      <c r="AI31" s="5">
        <v>6.8</v>
      </c>
      <c r="AJ31" s="5">
        <v>4.5999999999999996</v>
      </c>
      <c r="AK31" s="5">
        <v>9.9</v>
      </c>
      <c r="AL31" s="5">
        <v>7.1</v>
      </c>
      <c r="AM31" s="5">
        <v>7.4</v>
      </c>
      <c r="AN31" s="5">
        <v>7.7</v>
      </c>
      <c r="AO31" s="5">
        <v>8.1999999999999993</v>
      </c>
    </row>
    <row r="32" spans="1:41">
      <c r="A32" s="3" t="s">
        <v>725</v>
      </c>
      <c r="B32" s="3" t="s">
        <v>726</v>
      </c>
      <c r="C32" s="3">
        <v>24</v>
      </c>
      <c r="D32" s="3" t="s">
        <v>664</v>
      </c>
      <c r="E32" s="4">
        <v>88.3</v>
      </c>
      <c r="F32" s="3">
        <v>69.900000000000006</v>
      </c>
      <c r="G32" s="5">
        <v>42</v>
      </c>
      <c r="H32" s="5">
        <v>37.200000000000003</v>
      </c>
      <c r="I32" s="5">
        <v>31.4</v>
      </c>
      <c r="J32" s="5">
        <v>38.700000000000003</v>
      </c>
      <c r="K32" s="210">
        <v>32.4</v>
      </c>
      <c r="L32" s="210">
        <v>29.2</v>
      </c>
      <c r="M32" s="210">
        <v>29.8</v>
      </c>
      <c r="N32" s="210">
        <v>28.8</v>
      </c>
      <c r="O32" s="210">
        <v>28.5</v>
      </c>
      <c r="P32" s="210">
        <v>28.4</v>
      </c>
      <c r="Q32" s="210">
        <v>28.5</v>
      </c>
      <c r="R32" s="210">
        <v>28.6</v>
      </c>
      <c r="S32" s="210">
        <v>28.8</v>
      </c>
      <c r="T32" s="5">
        <v>27.1</v>
      </c>
      <c r="U32" s="5">
        <v>23.9</v>
      </c>
      <c r="V32" s="5">
        <v>28.9</v>
      </c>
      <c r="W32" s="5">
        <v>28.8</v>
      </c>
      <c r="X32" s="5">
        <v>19.600000000000001</v>
      </c>
      <c r="Y32" s="5">
        <v>19.899999999999999</v>
      </c>
      <c r="Z32" s="5">
        <v>22.5</v>
      </c>
      <c r="AA32" s="5">
        <v>22.4</v>
      </c>
      <c r="AB32" s="5">
        <v>24.5</v>
      </c>
      <c r="AC32" s="5">
        <v>24.3</v>
      </c>
      <c r="AD32" s="5">
        <v>23</v>
      </c>
      <c r="AE32" s="5">
        <v>20.5</v>
      </c>
      <c r="AF32" s="5">
        <v>16.2</v>
      </c>
      <c r="AG32" s="5">
        <v>13.5</v>
      </c>
      <c r="AH32" s="5">
        <v>12.9</v>
      </c>
      <c r="AI32" s="5">
        <v>13.8</v>
      </c>
      <c r="AJ32" s="5">
        <v>13.1</v>
      </c>
      <c r="AK32" s="5">
        <v>14.1</v>
      </c>
      <c r="AL32" s="5">
        <v>14.1</v>
      </c>
      <c r="AM32" s="5">
        <v>14.1</v>
      </c>
      <c r="AN32" s="5">
        <v>13.1</v>
      </c>
      <c r="AO32" s="5">
        <v>13.3</v>
      </c>
    </row>
    <row r="33" spans="1:41">
      <c r="G33" s="5"/>
      <c r="H33" s="5"/>
      <c r="I33" s="5"/>
      <c r="J33" s="5"/>
      <c r="K33" s="5"/>
      <c r="L33" s="5"/>
      <c r="M33" s="5"/>
      <c r="N33" s="5"/>
      <c r="O33" s="5"/>
      <c r="P33" s="5"/>
      <c r="Q33" s="5"/>
      <c r="R33" s="5"/>
      <c r="S33" s="5"/>
      <c r="T33" s="5"/>
      <c r="U33" s="5"/>
      <c r="V33" s="5"/>
      <c r="W33" s="5"/>
      <c r="X33" s="252"/>
      <c r="Y33" s="5"/>
      <c r="Z33" s="5"/>
      <c r="AA33" s="5"/>
      <c r="AB33" s="5"/>
      <c r="AC33" s="5"/>
      <c r="AD33" s="5"/>
      <c r="AE33" s="5"/>
      <c r="AF33" s="5"/>
      <c r="AG33" s="5"/>
      <c r="AH33" s="5"/>
      <c r="AI33" s="5"/>
      <c r="AJ33" s="5"/>
      <c r="AK33" s="5"/>
      <c r="AL33" s="5"/>
      <c r="AM33" s="5"/>
      <c r="AN33" s="5"/>
      <c r="AO33" s="5"/>
    </row>
    <row r="34" spans="1:41">
      <c r="A34" s="3" t="s">
        <v>727</v>
      </c>
      <c r="E34" s="4">
        <v>62.4</v>
      </c>
      <c r="F34" s="3">
        <v>61.2</v>
      </c>
      <c r="G34" s="5">
        <v>33.200000000000003</v>
      </c>
      <c r="H34" s="5">
        <v>33.6</v>
      </c>
      <c r="I34" s="5">
        <v>30.5</v>
      </c>
      <c r="J34" s="5">
        <v>29.7</v>
      </c>
      <c r="K34" s="5">
        <v>30.4</v>
      </c>
      <c r="L34" s="5">
        <v>26.2</v>
      </c>
      <c r="M34" s="5">
        <v>26.9</v>
      </c>
      <c r="N34" s="5">
        <v>26.6</v>
      </c>
      <c r="O34" s="5">
        <v>25.8</v>
      </c>
      <c r="P34" s="5">
        <v>25.7</v>
      </c>
      <c r="Q34" s="5">
        <v>25.6</v>
      </c>
      <c r="R34" s="5">
        <v>24.7</v>
      </c>
      <c r="S34" s="5">
        <v>23.9</v>
      </c>
      <c r="T34" s="5">
        <v>22.9</v>
      </c>
      <c r="U34" s="5">
        <v>22</v>
      </c>
      <c r="V34" s="5">
        <v>22.2</v>
      </c>
      <c r="W34" s="5">
        <v>20.9</v>
      </c>
      <c r="X34" s="5">
        <v>18.8</v>
      </c>
      <c r="Y34" s="5">
        <v>19.100000000000001</v>
      </c>
      <c r="Z34" s="5">
        <v>17.600000000000001</v>
      </c>
      <c r="AA34" s="5">
        <v>16.600000000000001</v>
      </c>
      <c r="AB34" s="5">
        <v>16.3</v>
      </c>
      <c r="AC34" s="5">
        <v>16.8</v>
      </c>
      <c r="AD34" s="5">
        <v>16.5</v>
      </c>
      <c r="AE34" s="5">
        <v>14.4</v>
      </c>
      <c r="AF34" s="5">
        <v>13.3</v>
      </c>
      <c r="AG34" s="5">
        <v>12.9</v>
      </c>
      <c r="AH34" s="5">
        <v>13.3</v>
      </c>
      <c r="AI34" s="5">
        <v>12.5</v>
      </c>
      <c r="AJ34" s="5">
        <v>12.1</v>
      </c>
      <c r="AK34" s="3">
        <v>11.9</v>
      </c>
      <c r="AL34" s="5">
        <v>11.7</v>
      </c>
      <c r="AM34" s="5">
        <v>11.1</v>
      </c>
      <c r="AN34" s="5">
        <v>10.8</v>
      </c>
      <c r="AO34" s="5">
        <v>10.6</v>
      </c>
    </row>
    <row r="35" spans="1:41" ht="242">
      <c r="A35" s="7" t="s">
        <v>728</v>
      </c>
      <c r="B35" s="7"/>
      <c r="C35" s="7"/>
      <c r="D35" s="7"/>
      <c r="E35" s="7" t="s">
        <v>720</v>
      </c>
      <c r="F35" s="7" t="s">
        <v>616</v>
      </c>
      <c r="G35" s="7" t="s">
        <v>3652</v>
      </c>
      <c r="H35" s="7" t="s">
        <v>3652</v>
      </c>
      <c r="I35" s="7" t="s">
        <v>3652</v>
      </c>
      <c r="J35" s="7" t="s">
        <v>3652</v>
      </c>
      <c r="K35" s="7" t="s">
        <v>3652</v>
      </c>
      <c r="L35" s="7" t="s">
        <v>3652</v>
      </c>
      <c r="M35" s="7" t="s">
        <v>3652</v>
      </c>
      <c r="N35" s="7" t="s">
        <v>3652</v>
      </c>
      <c r="O35" s="7" t="s">
        <v>3652</v>
      </c>
      <c r="P35" s="7" t="s">
        <v>3652</v>
      </c>
      <c r="Q35" s="7" t="s">
        <v>3652</v>
      </c>
      <c r="R35" s="7" t="s">
        <v>3652</v>
      </c>
      <c r="S35" s="7" t="s">
        <v>3652</v>
      </c>
      <c r="T35" s="7" t="s">
        <v>3652</v>
      </c>
      <c r="U35" s="7" t="s">
        <v>3652</v>
      </c>
      <c r="V35" s="7" t="s">
        <v>3652</v>
      </c>
      <c r="W35" s="7" t="s">
        <v>3652</v>
      </c>
      <c r="X35" s="7" t="s">
        <v>3652</v>
      </c>
      <c r="Y35" s="7" t="s">
        <v>3652</v>
      </c>
      <c r="Z35" s="7" t="s">
        <v>3652</v>
      </c>
      <c r="AA35" s="7" t="s">
        <v>3652</v>
      </c>
      <c r="AB35" s="7" t="s">
        <v>3652</v>
      </c>
      <c r="AC35" s="7" t="s">
        <v>3652</v>
      </c>
      <c r="AD35" s="7" t="s">
        <v>3652</v>
      </c>
      <c r="AE35" s="7" t="s">
        <v>3652</v>
      </c>
      <c r="AF35" s="7" t="s">
        <v>3652</v>
      </c>
      <c r="AG35" s="7" t="s">
        <v>3652</v>
      </c>
      <c r="AH35" s="7" t="s">
        <v>1860</v>
      </c>
      <c r="AI35" s="7" t="s">
        <v>1860</v>
      </c>
      <c r="AJ35" s="7" t="s">
        <v>1860</v>
      </c>
      <c r="AK35" s="7" t="s">
        <v>1860</v>
      </c>
      <c r="AL35" s="7" t="s">
        <v>1860</v>
      </c>
      <c r="AM35" s="7" t="s">
        <v>1975</v>
      </c>
      <c r="AN35" s="7" t="s">
        <v>2852</v>
      </c>
      <c r="AO35" s="7" t="s">
        <v>3349</v>
      </c>
    </row>
    <row r="36" spans="1:41" ht="231">
      <c r="A36" s="7"/>
      <c r="B36" s="7"/>
      <c r="C36" s="7"/>
      <c r="D36" s="7"/>
      <c r="E36" s="84"/>
      <c r="F36" s="7"/>
      <c r="G36" s="7"/>
      <c r="H36" s="7"/>
      <c r="I36" s="7"/>
      <c r="J36" s="7"/>
      <c r="K36" s="7" t="s">
        <v>3335</v>
      </c>
      <c r="L36" s="7" t="s">
        <v>3335</v>
      </c>
      <c r="M36" s="7" t="s">
        <v>3335</v>
      </c>
      <c r="N36" s="7" t="s">
        <v>3335</v>
      </c>
      <c r="O36" s="7" t="s">
        <v>3335</v>
      </c>
      <c r="P36" s="7" t="s">
        <v>3335</v>
      </c>
      <c r="Q36" s="7" t="s">
        <v>3335</v>
      </c>
      <c r="R36" s="7" t="s">
        <v>3335</v>
      </c>
      <c r="S36" s="7" t="s">
        <v>3335</v>
      </c>
      <c r="T36" s="7" t="s">
        <v>3335</v>
      </c>
      <c r="U36" s="7" t="s">
        <v>3335</v>
      </c>
      <c r="V36" s="7"/>
      <c r="W36" s="7"/>
      <c r="X36" s="7"/>
      <c r="Y36" s="7"/>
      <c r="Z36" s="7"/>
      <c r="AA36" s="7"/>
      <c r="AB36" s="7"/>
      <c r="AC36" s="7"/>
      <c r="AD36" s="7"/>
      <c r="AE36" s="7"/>
      <c r="AF36" s="7"/>
      <c r="AG36" s="7"/>
      <c r="AH36" s="7"/>
      <c r="AI36" s="7"/>
      <c r="AJ36" s="7"/>
      <c r="AK36" s="7"/>
      <c r="AL36" s="7" t="s">
        <v>1976</v>
      </c>
      <c r="AM36" s="7"/>
    </row>
    <row r="159" spans="24:24">
      <c r="X159" s="56"/>
    </row>
    <row r="160" spans="24:24">
      <c r="X160" s="56"/>
    </row>
    <row r="161" spans="24:24">
      <c r="X161" s="56"/>
    </row>
    <row r="162" spans="24:24">
      <c r="X162" s="56"/>
    </row>
    <row r="163" spans="24:24">
      <c r="X163" s="56"/>
    </row>
    <row r="164" spans="24:24">
      <c r="X164" s="56"/>
    </row>
    <row r="165" spans="24:24">
      <c r="X165" s="56"/>
    </row>
    <row r="166" spans="24:24">
      <c r="X166" s="56"/>
    </row>
    <row r="167" spans="24:24">
      <c r="X167" s="56"/>
    </row>
    <row r="168" spans="24:24">
      <c r="X168" s="56"/>
    </row>
    <row r="169" spans="24:24">
      <c r="X169" s="56"/>
    </row>
    <row r="170" spans="24:24">
      <c r="X170" s="56"/>
    </row>
    <row r="171" spans="24:24">
      <c r="X171" s="56"/>
    </row>
    <row r="172" spans="24:24">
      <c r="X172" s="56"/>
    </row>
    <row r="173" spans="24:24">
      <c r="X173" s="56"/>
    </row>
    <row r="174" spans="24:24">
      <c r="X174" s="56"/>
    </row>
    <row r="175" spans="24:24">
      <c r="X175" s="56"/>
    </row>
    <row r="176" spans="24:24">
      <c r="X176" s="56"/>
    </row>
    <row r="177" spans="24:24">
      <c r="X177" s="56"/>
    </row>
    <row r="178" spans="24:24">
      <c r="X178" s="56"/>
    </row>
    <row r="179" spans="24:24">
      <c r="X179" s="56"/>
    </row>
    <row r="180" spans="24:24">
      <c r="X180" s="56"/>
    </row>
    <row r="181" spans="24:24">
      <c r="X181" s="56"/>
    </row>
    <row r="182" spans="24:24">
      <c r="X182" s="56"/>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workbookViewId="0">
      <pane xSplit="5800"/>
      <selection pane="topRight"/>
    </sheetView>
  </sheetViews>
  <sheetFormatPr baseColWidth="10" defaultRowHeight="13" x14ac:dyDescent="0"/>
  <cols>
    <col min="1" max="1" width="15.140625" style="3" customWidth="1"/>
    <col min="2" max="3" width="5.7109375" style="3" customWidth="1"/>
    <col min="4" max="4" width="10.7109375" style="3"/>
    <col min="5" max="24" width="10.7109375" style="6"/>
    <col min="25" max="25" width="10.7109375" style="182"/>
    <col min="26" max="35" width="10.7109375" style="6"/>
  </cols>
  <sheetData>
    <row r="1" spans="1:41">
      <c r="A1" s="184" t="s">
        <v>2404</v>
      </c>
    </row>
    <row r="2" spans="1:41">
      <c r="A2" s="1" t="s">
        <v>614</v>
      </c>
      <c r="B2" s="1"/>
      <c r="C2" s="1"/>
      <c r="D2" s="1"/>
      <c r="E2" s="20" t="s">
        <v>853</v>
      </c>
      <c r="F2" s="20" t="s">
        <v>853</v>
      </c>
      <c r="G2" s="20" t="s">
        <v>853</v>
      </c>
      <c r="H2" s="20" t="s">
        <v>853</v>
      </c>
      <c r="I2" s="20" t="s">
        <v>853</v>
      </c>
      <c r="J2" s="20" t="s">
        <v>853</v>
      </c>
      <c r="K2" s="20" t="s">
        <v>853</v>
      </c>
      <c r="L2" s="20" t="s">
        <v>853</v>
      </c>
      <c r="M2" s="20" t="s">
        <v>853</v>
      </c>
      <c r="N2" s="20" t="s">
        <v>853</v>
      </c>
      <c r="O2" s="20" t="s">
        <v>853</v>
      </c>
      <c r="P2" s="20" t="s">
        <v>853</v>
      </c>
      <c r="Q2" s="20" t="s">
        <v>853</v>
      </c>
      <c r="R2" s="20" t="s">
        <v>853</v>
      </c>
      <c r="S2" s="20" t="s">
        <v>853</v>
      </c>
      <c r="T2" s="20" t="s">
        <v>853</v>
      </c>
      <c r="U2" s="20" t="s">
        <v>853</v>
      </c>
      <c r="V2" s="20" t="s">
        <v>853</v>
      </c>
      <c r="W2" s="20" t="s">
        <v>853</v>
      </c>
      <c r="X2" s="20" t="s">
        <v>853</v>
      </c>
      <c r="Y2" s="177" t="s">
        <v>853</v>
      </c>
      <c r="Z2" s="20" t="s">
        <v>853</v>
      </c>
      <c r="AA2" s="20" t="s">
        <v>853</v>
      </c>
      <c r="AB2" s="20" t="s">
        <v>853</v>
      </c>
      <c r="AC2" s="20" t="s">
        <v>853</v>
      </c>
      <c r="AD2" s="20" t="s">
        <v>853</v>
      </c>
      <c r="AE2" s="20" t="s">
        <v>853</v>
      </c>
      <c r="AF2" s="20" t="s">
        <v>853</v>
      </c>
      <c r="AG2" s="20" t="s">
        <v>853</v>
      </c>
      <c r="AH2" s="20" t="s">
        <v>853</v>
      </c>
      <c r="AI2" s="20" t="s">
        <v>853</v>
      </c>
      <c r="AJ2" s="20" t="s">
        <v>853</v>
      </c>
      <c r="AK2" s="20" t="s">
        <v>853</v>
      </c>
    </row>
    <row r="3" spans="1:41">
      <c r="A3" s="1" t="s">
        <v>518</v>
      </c>
      <c r="B3" s="1"/>
      <c r="C3" s="1"/>
      <c r="D3" s="1"/>
      <c r="E3" s="20" t="s">
        <v>465</v>
      </c>
      <c r="F3" s="20" t="s">
        <v>465</v>
      </c>
      <c r="G3" s="20" t="s">
        <v>465</v>
      </c>
      <c r="H3" s="20" t="s">
        <v>465</v>
      </c>
      <c r="I3" s="20" t="s">
        <v>465</v>
      </c>
      <c r="J3" s="20" t="s">
        <v>465</v>
      </c>
      <c r="K3" s="20" t="s">
        <v>465</v>
      </c>
      <c r="L3" s="20" t="s">
        <v>465</v>
      </c>
      <c r="M3" s="20" t="s">
        <v>465</v>
      </c>
      <c r="N3" s="20" t="s">
        <v>465</v>
      </c>
      <c r="O3" s="20" t="s">
        <v>465</v>
      </c>
      <c r="P3" s="20" t="s">
        <v>465</v>
      </c>
      <c r="Q3" s="20" t="s">
        <v>465</v>
      </c>
      <c r="R3" s="20" t="s">
        <v>465</v>
      </c>
      <c r="S3" s="20" t="s">
        <v>465</v>
      </c>
      <c r="T3" s="20" t="s">
        <v>465</v>
      </c>
      <c r="U3" s="20" t="s">
        <v>465</v>
      </c>
      <c r="V3" s="20" t="s">
        <v>465</v>
      </c>
      <c r="W3" s="20" t="s">
        <v>465</v>
      </c>
      <c r="X3" s="20" t="s">
        <v>465</v>
      </c>
      <c r="Y3" s="177" t="s">
        <v>465</v>
      </c>
      <c r="Z3" s="20" t="s">
        <v>465</v>
      </c>
      <c r="AA3" s="20" t="s">
        <v>465</v>
      </c>
      <c r="AB3" s="20" t="s">
        <v>465</v>
      </c>
      <c r="AC3" s="20" t="s">
        <v>465</v>
      </c>
      <c r="AD3" s="20" t="s">
        <v>465</v>
      </c>
      <c r="AE3" s="20" t="s">
        <v>465</v>
      </c>
      <c r="AF3" s="20" t="s">
        <v>465</v>
      </c>
      <c r="AG3" s="20" t="s">
        <v>465</v>
      </c>
      <c r="AH3" s="20" t="s">
        <v>465</v>
      </c>
      <c r="AI3" s="20" t="s">
        <v>465</v>
      </c>
      <c r="AJ3" s="20" t="s">
        <v>465</v>
      </c>
      <c r="AK3" s="20" t="s">
        <v>465</v>
      </c>
    </row>
    <row r="4" spans="1:41">
      <c r="A4" s="1" t="s">
        <v>736</v>
      </c>
      <c r="B4" s="1"/>
      <c r="C4" s="1"/>
      <c r="D4" s="1"/>
      <c r="E4" s="20"/>
      <c r="F4" s="20"/>
      <c r="G4" s="20"/>
      <c r="H4" s="20"/>
      <c r="I4" s="20"/>
      <c r="J4" s="20"/>
      <c r="K4" s="20"/>
      <c r="L4" s="20"/>
      <c r="M4" s="20"/>
      <c r="N4" s="20"/>
      <c r="O4" s="20"/>
      <c r="P4" s="20"/>
      <c r="Q4" s="20"/>
      <c r="R4" s="20"/>
      <c r="S4" s="20"/>
      <c r="T4" s="20"/>
      <c r="U4" s="20"/>
      <c r="V4" s="20"/>
      <c r="W4" s="20"/>
      <c r="X4" s="20"/>
      <c r="Y4" s="177"/>
      <c r="Z4" s="20"/>
      <c r="AA4" s="20"/>
      <c r="AB4" s="20"/>
      <c r="AC4" s="20"/>
      <c r="AD4" s="20"/>
      <c r="AE4" s="20"/>
      <c r="AF4" s="20"/>
      <c r="AG4" s="20"/>
      <c r="AH4" s="20"/>
      <c r="AI4" s="20"/>
      <c r="AJ4" s="20"/>
      <c r="AK4" s="20"/>
    </row>
    <row r="5" spans="1:41">
      <c r="A5" s="1" t="s">
        <v>737</v>
      </c>
      <c r="B5" s="1"/>
      <c r="C5" s="1"/>
      <c r="D5" s="1"/>
      <c r="E5" s="20" t="s">
        <v>678</v>
      </c>
      <c r="F5" s="20" t="s">
        <v>678</v>
      </c>
      <c r="G5" s="20" t="s">
        <v>678</v>
      </c>
      <c r="H5" s="20" t="s">
        <v>678</v>
      </c>
      <c r="I5" s="20" t="s">
        <v>678</v>
      </c>
      <c r="J5" s="20" t="s">
        <v>678</v>
      </c>
      <c r="K5" s="20" t="s">
        <v>678</v>
      </c>
      <c r="L5" s="20" t="s">
        <v>678</v>
      </c>
      <c r="M5" s="20" t="s">
        <v>678</v>
      </c>
      <c r="N5" s="20" t="s">
        <v>678</v>
      </c>
      <c r="O5" s="20" t="s">
        <v>678</v>
      </c>
      <c r="P5" s="20" t="s">
        <v>678</v>
      </c>
      <c r="Q5" s="20" t="s">
        <v>678</v>
      </c>
      <c r="R5" s="20" t="s">
        <v>678</v>
      </c>
      <c r="S5" s="20" t="s">
        <v>678</v>
      </c>
      <c r="T5" s="20" t="s">
        <v>678</v>
      </c>
      <c r="U5" s="20" t="s">
        <v>678</v>
      </c>
      <c r="V5" s="20" t="s">
        <v>678</v>
      </c>
      <c r="W5" s="20" t="s">
        <v>678</v>
      </c>
      <c r="X5" s="20" t="s">
        <v>678</v>
      </c>
      <c r="Y5" s="177" t="s">
        <v>678</v>
      </c>
      <c r="Z5" s="20" t="s">
        <v>678</v>
      </c>
      <c r="AA5" s="20" t="s">
        <v>678</v>
      </c>
      <c r="AB5" s="20" t="s">
        <v>678</v>
      </c>
      <c r="AC5" s="20" t="s">
        <v>678</v>
      </c>
      <c r="AD5" s="20" t="s">
        <v>678</v>
      </c>
      <c r="AE5" s="20" t="s">
        <v>678</v>
      </c>
      <c r="AF5" s="20" t="s">
        <v>678</v>
      </c>
      <c r="AG5" s="20" t="s">
        <v>678</v>
      </c>
      <c r="AH5" s="20" t="s">
        <v>678</v>
      </c>
      <c r="AI5" s="20" t="s">
        <v>678</v>
      </c>
      <c r="AJ5" s="20" t="s">
        <v>678</v>
      </c>
      <c r="AK5" s="20" t="s">
        <v>678</v>
      </c>
    </row>
    <row r="6" spans="1:41">
      <c r="A6" s="42" t="s">
        <v>560</v>
      </c>
      <c r="B6" s="42"/>
      <c r="C6" s="42"/>
      <c r="D6" s="42"/>
      <c r="E6" s="42">
        <v>1983</v>
      </c>
      <c r="F6" s="42">
        <v>1984</v>
      </c>
      <c r="G6" s="42">
        <v>1985</v>
      </c>
      <c r="H6" s="42">
        <v>1986</v>
      </c>
      <c r="I6" s="42">
        <v>1987</v>
      </c>
      <c r="J6" s="42">
        <v>1988</v>
      </c>
      <c r="K6" s="42">
        <v>1989</v>
      </c>
      <c r="L6" s="42">
        <v>1990</v>
      </c>
      <c r="M6" s="42">
        <v>1991</v>
      </c>
      <c r="N6" s="42">
        <v>1992</v>
      </c>
      <c r="O6" s="42">
        <v>1993</v>
      </c>
      <c r="P6" s="42">
        <v>1994</v>
      </c>
      <c r="Q6" s="42">
        <v>1995</v>
      </c>
      <c r="R6" s="42">
        <v>1996</v>
      </c>
      <c r="S6" s="42">
        <v>1997</v>
      </c>
      <c r="T6" s="42">
        <v>1998</v>
      </c>
      <c r="U6" s="42">
        <v>1999</v>
      </c>
      <c r="V6" s="42">
        <v>2000</v>
      </c>
      <c r="W6" s="42">
        <v>2001</v>
      </c>
      <c r="X6" s="42">
        <v>2002</v>
      </c>
      <c r="Y6" s="178">
        <v>2002</v>
      </c>
      <c r="Z6" s="42" t="s">
        <v>2528</v>
      </c>
      <c r="AA6" s="42" t="s">
        <v>2529</v>
      </c>
      <c r="AB6" s="42" t="s">
        <v>1880</v>
      </c>
      <c r="AC6" s="42" t="s">
        <v>2530</v>
      </c>
      <c r="AD6" s="42" t="s">
        <v>2531</v>
      </c>
      <c r="AE6" s="42" t="s">
        <v>2532</v>
      </c>
      <c r="AF6" s="42" t="s">
        <v>1907</v>
      </c>
      <c r="AG6" s="42" t="s">
        <v>1826</v>
      </c>
      <c r="AH6" s="42" t="s">
        <v>1812</v>
      </c>
      <c r="AI6" s="42" t="s">
        <v>1869</v>
      </c>
      <c r="AJ6" s="42" t="s">
        <v>1927</v>
      </c>
      <c r="AK6" s="42" t="s">
        <v>3348</v>
      </c>
    </row>
    <row r="7" spans="1:41" ht="110">
      <c r="A7" s="7" t="s">
        <v>3334</v>
      </c>
      <c r="B7" s="1"/>
      <c r="C7" s="1"/>
      <c r="D7" s="1"/>
      <c r="E7" s="20" t="s">
        <v>2856</v>
      </c>
      <c r="F7" s="20" t="s">
        <v>2857</v>
      </c>
      <c r="G7" s="20" t="s">
        <v>2858</v>
      </c>
      <c r="H7" s="20" t="s">
        <v>2859</v>
      </c>
      <c r="I7" s="20" t="s">
        <v>2860</v>
      </c>
      <c r="J7" s="20" t="s">
        <v>2861</v>
      </c>
      <c r="K7" s="20" t="s">
        <v>2862</v>
      </c>
      <c r="L7" s="20" t="s">
        <v>2863</v>
      </c>
      <c r="M7" s="20" t="s">
        <v>2864</v>
      </c>
      <c r="N7" s="20" t="s">
        <v>2865</v>
      </c>
      <c r="O7" s="20" t="s">
        <v>2866</v>
      </c>
      <c r="P7" s="20" t="s">
        <v>2867</v>
      </c>
      <c r="Q7" s="20" t="s">
        <v>2868</v>
      </c>
      <c r="R7" s="20" t="s">
        <v>2869</v>
      </c>
      <c r="S7" s="20" t="s">
        <v>2870</v>
      </c>
      <c r="T7" s="20" t="s">
        <v>2871</v>
      </c>
      <c r="U7" s="20" t="s">
        <v>2872</v>
      </c>
      <c r="V7" s="20" t="s">
        <v>2873</v>
      </c>
      <c r="W7" s="20" t="s">
        <v>2874</v>
      </c>
      <c r="X7" s="20" t="s">
        <v>2875</v>
      </c>
      <c r="Y7" s="177" t="s">
        <v>2876</v>
      </c>
      <c r="Z7" s="20" t="s">
        <v>2877</v>
      </c>
      <c r="AA7" s="20" t="s">
        <v>2878</v>
      </c>
      <c r="AB7" s="20" t="s">
        <v>2879</v>
      </c>
      <c r="AC7" s="20" t="s">
        <v>2880</v>
      </c>
      <c r="AD7" s="20" t="s">
        <v>2881</v>
      </c>
      <c r="AE7" s="20" t="s">
        <v>2882</v>
      </c>
      <c r="AF7" s="20" t="s">
        <v>2883</v>
      </c>
      <c r="AG7" s="20" t="s">
        <v>2884</v>
      </c>
      <c r="AH7" s="20" t="s">
        <v>2885</v>
      </c>
      <c r="AI7" s="20" t="s">
        <v>2886</v>
      </c>
      <c r="AJ7" s="20" t="s">
        <v>2887</v>
      </c>
      <c r="AK7" s="20" t="s">
        <v>3352</v>
      </c>
    </row>
    <row r="8" spans="1:41">
      <c r="A8" s="9" t="s">
        <v>572</v>
      </c>
      <c r="B8" s="9" t="s">
        <v>770</v>
      </c>
      <c r="C8" s="9" t="s">
        <v>771</v>
      </c>
      <c r="D8" s="9" t="s">
        <v>772</v>
      </c>
      <c r="E8" s="23" t="s">
        <v>445</v>
      </c>
      <c r="F8" s="23" t="s">
        <v>691</v>
      </c>
      <c r="G8" s="23" t="s">
        <v>756</v>
      </c>
      <c r="H8" s="23" t="s">
        <v>400</v>
      </c>
      <c r="I8" s="23" t="s">
        <v>401</v>
      </c>
      <c r="J8" s="23" t="s">
        <v>501</v>
      </c>
      <c r="K8" s="23" t="s">
        <v>494</v>
      </c>
      <c r="L8" s="23" t="s">
        <v>495</v>
      </c>
      <c r="M8" s="23" t="s">
        <v>584</v>
      </c>
      <c r="N8" s="23" t="s">
        <v>846</v>
      </c>
      <c r="O8" s="23" t="s">
        <v>554</v>
      </c>
      <c r="P8" s="23" t="s">
        <v>566</v>
      </c>
      <c r="Q8" s="23" t="s">
        <v>670</v>
      </c>
      <c r="R8" s="23" t="s">
        <v>848</v>
      </c>
      <c r="S8" s="23" t="s">
        <v>757</v>
      </c>
      <c r="T8" s="23" t="s">
        <v>758</v>
      </c>
      <c r="U8" s="23" t="s">
        <v>671</v>
      </c>
      <c r="V8" s="23" t="s">
        <v>567</v>
      </c>
      <c r="W8" s="23" t="s">
        <v>549</v>
      </c>
      <c r="X8" s="23" t="s">
        <v>553</v>
      </c>
      <c r="Y8" s="179" t="s">
        <v>553</v>
      </c>
      <c r="Z8" s="23" t="s">
        <v>2534</v>
      </c>
      <c r="AA8" s="23" t="s">
        <v>2535</v>
      </c>
      <c r="AB8" s="23" t="s">
        <v>2536</v>
      </c>
      <c r="AC8" s="23" t="s">
        <v>2537</v>
      </c>
      <c r="AD8" s="23" t="s">
        <v>2538</v>
      </c>
      <c r="AE8" s="23" t="s">
        <v>2539</v>
      </c>
      <c r="AF8" s="23" t="s">
        <v>2540</v>
      </c>
      <c r="AG8" s="23" t="s">
        <v>2541</v>
      </c>
      <c r="AH8" s="23" t="s">
        <v>2542</v>
      </c>
      <c r="AI8" s="23" t="s">
        <v>2543</v>
      </c>
      <c r="AJ8" s="23" t="s">
        <v>2854</v>
      </c>
      <c r="AK8" s="23" t="s">
        <v>3353</v>
      </c>
      <c r="AL8" t="s">
        <v>3493</v>
      </c>
      <c r="AM8" t="s">
        <v>3494</v>
      </c>
      <c r="AN8" t="s">
        <v>3493</v>
      </c>
      <c r="AO8" t="s">
        <v>3494</v>
      </c>
    </row>
    <row r="9" spans="1:41">
      <c r="A9" s="3" t="s">
        <v>850</v>
      </c>
      <c r="B9" s="3" t="s">
        <v>851</v>
      </c>
      <c r="C9" s="3">
        <v>1</v>
      </c>
      <c r="D9" s="3" t="s">
        <v>759</v>
      </c>
      <c r="E9" s="83">
        <v>46</v>
      </c>
      <c r="F9" s="83">
        <v>47</v>
      </c>
      <c r="G9" s="83">
        <v>46</v>
      </c>
      <c r="H9" s="83">
        <v>31</v>
      </c>
      <c r="I9" s="83">
        <v>30</v>
      </c>
      <c r="J9" s="83">
        <v>31</v>
      </c>
      <c r="K9" s="83">
        <v>38</v>
      </c>
      <c r="L9" s="83">
        <v>27</v>
      </c>
      <c r="M9" s="83">
        <v>22</v>
      </c>
      <c r="N9" s="83">
        <v>29</v>
      </c>
      <c r="O9" s="83">
        <v>25</v>
      </c>
      <c r="P9" s="83">
        <v>24</v>
      </c>
      <c r="Q9" s="83">
        <v>24</v>
      </c>
      <c r="R9" s="83">
        <v>23</v>
      </c>
      <c r="S9" s="83">
        <v>26</v>
      </c>
      <c r="T9" s="83">
        <v>25</v>
      </c>
      <c r="U9" s="83">
        <v>19</v>
      </c>
      <c r="V9" s="83">
        <v>14</v>
      </c>
      <c r="W9" s="83">
        <v>21</v>
      </c>
      <c r="X9" s="83">
        <v>32</v>
      </c>
      <c r="Y9" s="180">
        <v>32</v>
      </c>
      <c r="Z9" s="83">
        <v>25</v>
      </c>
      <c r="AA9" s="83">
        <v>28</v>
      </c>
      <c r="AB9" s="83">
        <v>27</v>
      </c>
      <c r="AC9" s="83">
        <v>38</v>
      </c>
      <c r="AD9" s="83">
        <v>37</v>
      </c>
      <c r="AE9" s="83">
        <v>32</v>
      </c>
      <c r="AF9" s="83">
        <v>40</v>
      </c>
      <c r="AG9" s="83">
        <v>44</v>
      </c>
      <c r="AH9" s="83">
        <v>32</v>
      </c>
      <c r="AI9" s="6">
        <v>30</v>
      </c>
      <c r="AJ9" s="6">
        <v>30</v>
      </c>
      <c r="AK9" s="6">
        <v>34</v>
      </c>
      <c r="AL9" s="215">
        <f>AVERAGE(AH9:AJ9)</f>
        <v>30.666666666666668</v>
      </c>
      <c r="AM9" s="215">
        <f>AVERAGE(AF9:AJ9)</f>
        <v>35.200000000000003</v>
      </c>
      <c r="AN9" s="215">
        <f>AVERAGE(AI9:AK9)</f>
        <v>31.333333333333332</v>
      </c>
      <c r="AO9" s="215">
        <f>AVERAGE(AG9:AK9)</f>
        <v>34</v>
      </c>
    </row>
    <row r="10" spans="1:41">
      <c r="A10" s="3" t="s">
        <v>667</v>
      </c>
      <c r="B10" s="3" t="s">
        <v>668</v>
      </c>
      <c r="C10" s="3">
        <v>2</v>
      </c>
      <c r="D10" s="3" t="s">
        <v>759</v>
      </c>
      <c r="E10" s="83">
        <v>18</v>
      </c>
      <c r="F10" s="83">
        <v>30</v>
      </c>
      <c r="G10" s="83">
        <v>20</v>
      </c>
      <c r="H10" s="83">
        <v>26</v>
      </c>
      <c r="I10" s="83">
        <v>27</v>
      </c>
      <c r="J10" s="83">
        <v>27</v>
      </c>
      <c r="K10" s="83">
        <v>15</v>
      </c>
      <c r="L10" s="83">
        <v>41</v>
      </c>
      <c r="M10" s="83">
        <v>10</v>
      </c>
      <c r="N10" s="83">
        <v>38</v>
      </c>
      <c r="O10" s="83">
        <v>36</v>
      </c>
      <c r="P10" s="83">
        <v>8</v>
      </c>
      <c r="Q10" s="83">
        <v>10</v>
      </c>
      <c r="R10" s="83">
        <v>10</v>
      </c>
      <c r="S10" s="83">
        <v>2</v>
      </c>
      <c r="T10" s="83">
        <v>3</v>
      </c>
      <c r="U10" s="83">
        <v>2</v>
      </c>
      <c r="V10" s="83">
        <v>14</v>
      </c>
      <c r="W10" s="83">
        <v>9</v>
      </c>
      <c r="X10" s="83">
        <v>14</v>
      </c>
      <c r="Y10" s="180">
        <v>14</v>
      </c>
      <c r="Z10" s="83">
        <v>12</v>
      </c>
      <c r="AA10" s="83">
        <v>20</v>
      </c>
      <c r="AB10" s="83">
        <v>7</v>
      </c>
      <c r="AC10" s="83">
        <v>18</v>
      </c>
      <c r="AD10" s="83">
        <v>33</v>
      </c>
      <c r="AE10" s="83">
        <v>9</v>
      </c>
      <c r="AF10" s="83">
        <v>18</v>
      </c>
      <c r="AG10" s="83">
        <v>9</v>
      </c>
      <c r="AH10" s="83">
        <v>13</v>
      </c>
      <c r="AI10" s="6">
        <v>16</v>
      </c>
      <c r="AJ10" s="6">
        <v>16</v>
      </c>
      <c r="AK10" s="6">
        <v>18</v>
      </c>
      <c r="AL10" s="215">
        <f t="shared" ref="AL10:AL32" si="0">AVERAGE(AH10:AJ10)</f>
        <v>15</v>
      </c>
      <c r="AM10" s="215">
        <f t="shared" ref="AM10:AM32" si="1">AVERAGE(AF10:AJ10)</f>
        <v>14.4</v>
      </c>
      <c r="AN10" s="215">
        <f t="shared" ref="AN10:AN32" si="2">AVERAGE(AI10:AK10)</f>
        <v>16.666666666666668</v>
      </c>
      <c r="AO10" s="215">
        <f t="shared" ref="AO10:AO32" si="3">AVERAGE(AG10:AK10)</f>
        <v>14.4</v>
      </c>
    </row>
    <row r="11" spans="1:41">
      <c r="A11" s="3" t="s">
        <v>669</v>
      </c>
      <c r="B11" s="3" t="s">
        <v>663</v>
      </c>
      <c r="C11" s="3">
        <v>3</v>
      </c>
      <c r="D11" s="3" t="s">
        <v>664</v>
      </c>
      <c r="E11" s="83">
        <v>163</v>
      </c>
      <c r="F11" s="83">
        <v>198</v>
      </c>
      <c r="G11" s="83">
        <v>75</v>
      </c>
      <c r="H11" s="83">
        <v>76</v>
      </c>
      <c r="I11" s="83">
        <v>56</v>
      </c>
      <c r="J11" s="83">
        <v>53</v>
      </c>
      <c r="K11" s="83">
        <v>60</v>
      </c>
      <c r="L11" s="83">
        <v>105</v>
      </c>
      <c r="M11" s="83">
        <v>79</v>
      </c>
      <c r="N11" s="83">
        <v>13</v>
      </c>
      <c r="O11" s="83">
        <v>42</v>
      </c>
      <c r="P11" s="83">
        <v>68</v>
      </c>
      <c r="Q11" s="83">
        <v>26</v>
      </c>
      <c r="R11" s="83">
        <v>41</v>
      </c>
      <c r="S11" s="83">
        <v>51</v>
      </c>
      <c r="T11" s="83">
        <v>25</v>
      </c>
      <c r="U11" s="83">
        <v>51</v>
      </c>
      <c r="V11" s="83">
        <v>0</v>
      </c>
      <c r="W11" s="83">
        <v>37</v>
      </c>
      <c r="X11" s="83">
        <v>62</v>
      </c>
      <c r="Y11" s="180">
        <v>62</v>
      </c>
      <c r="Z11" s="83">
        <v>25</v>
      </c>
      <c r="AA11" s="83">
        <v>0</v>
      </c>
      <c r="AB11" s="83">
        <v>69</v>
      </c>
      <c r="AC11" s="83">
        <v>44</v>
      </c>
      <c r="AD11" s="83">
        <v>72</v>
      </c>
      <c r="AE11" s="83">
        <v>42</v>
      </c>
      <c r="AF11" s="83">
        <v>160</v>
      </c>
      <c r="AG11" s="83">
        <v>15</v>
      </c>
      <c r="AH11" s="83">
        <v>76</v>
      </c>
      <c r="AI11" s="6">
        <v>32</v>
      </c>
      <c r="AJ11" s="6">
        <v>15</v>
      </c>
      <c r="AK11" s="6">
        <v>44</v>
      </c>
      <c r="AL11" s="215">
        <f t="shared" si="0"/>
        <v>41</v>
      </c>
      <c r="AM11" s="215">
        <f t="shared" si="1"/>
        <v>59.6</v>
      </c>
      <c r="AN11" s="215">
        <f t="shared" si="2"/>
        <v>30.333333333333332</v>
      </c>
      <c r="AO11" s="215">
        <f t="shared" si="3"/>
        <v>36.4</v>
      </c>
    </row>
    <row r="12" spans="1:41">
      <c r="A12" s="3" t="s">
        <v>665</v>
      </c>
      <c r="B12" s="3" t="s">
        <v>640</v>
      </c>
      <c r="C12" s="3">
        <v>4</v>
      </c>
      <c r="D12" s="3" t="s">
        <v>641</v>
      </c>
      <c r="E12" s="83">
        <v>87</v>
      </c>
      <c r="F12" s="83">
        <v>121</v>
      </c>
      <c r="G12" s="83">
        <v>146</v>
      </c>
      <c r="H12" s="83">
        <v>130</v>
      </c>
      <c r="I12" s="83">
        <v>129</v>
      </c>
      <c r="J12" s="83">
        <v>91</v>
      </c>
      <c r="K12" s="83">
        <v>157</v>
      </c>
      <c r="L12" s="83">
        <v>107</v>
      </c>
      <c r="M12" s="83">
        <v>118</v>
      </c>
      <c r="N12" s="83">
        <v>104</v>
      </c>
      <c r="O12" s="83">
        <v>125</v>
      </c>
      <c r="P12" s="83">
        <v>99</v>
      </c>
      <c r="Q12" s="83">
        <v>126</v>
      </c>
      <c r="R12" s="83">
        <v>160</v>
      </c>
      <c r="S12" s="83">
        <v>58</v>
      </c>
      <c r="T12" s="83">
        <v>130</v>
      </c>
      <c r="U12" s="83">
        <v>132</v>
      </c>
      <c r="V12" s="83">
        <v>77</v>
      </c>
      <c r="W12" s="83">
        <v>159</v>
      </c>
      <c r="X12" s="83">
        <v>78</v>
      </c>
      <c r="Y12" s="180">
        <v>78</v>
      </c>
      <c r="Z12" s="83">
        <v>81</v>
      </c>
      <c r="AA12" s="83">
        <v>70</v>
      </c>
      <c r="AB12" s="83">
        <v>52</v>
      </c>
      <c r="AC12" s="83">
        <v>128</v>
      </c>
      <c r="AD12" s="83">
        <v>63</v>
      </c>
      <c r="AE12" s="83">
        <v>82</v>
      </c>
      <c r="AF12" s="83">
        <v>97</v>
      </c>
      <c r="AG12" s="83">
        <v>75</v>
      </c>
      <c r="AH12" s="83">
        <v>86</v>
      </c>
      <c r="AI12" s="6">
        <v>68</v>
      </c>
      <c r="AJ12" s="6">
        <v>49</v>
      </c>
      <c r="AK12" s="6">
        <v>57</v>
      </c>
      <c r="AL12" s="215">
        <f t="shared" si="0"/>
        <v>67.666666666666671</v>
      </c>
      <c r="AM12" s="215">
        <f t="shared" si="1"/>
        <v>75</v>
      </c>
      <c r="AN12" s="215">
        <f t="shared" si="2"/>
        <v>58</v>
      </c>
      <c r="AO12" s="215">
        <f t="shared" si="3"/>
        <v>67</v>
      </c>
    </row>
    <row r="13" spans="1:41">
      <c r="A13" s="3" t="s">
        <v>539</v>
      </c>
      <c r="B13" s="3" t="s">
        <v>540</v>
      </c>
      <c r="C13" s="3">
        <v>5</v>
      </c>
      <c r="D13" s="3" t="s">
        <v>541</v>
      </c>
      <c r="E13" s="83">
        <v>112</v>
      </c>
      <c r="F13" s="83">
        <v>89</v>
      </c>
      <c r="G13" s="83">
        <v>48</v>
      </c>
      <c r="H13" s="83">
        <v>11</v>
      </c>
      <c r="I13" s="83">
        <v>56</v>
      </c>
      <c r="J13" s="83">
        <v>45</v>
      </c>
      <c r="K13" s="83">
        <v>45</v>
      </c>
      <c r="L13" s="83">
        <v>23</v>
      </c>
      <c r="M13" s="83">
        <v>23</v>
      </c>
      <c r="N13" s="83">
        <v>24</v>
      </c>
      <c r="O13" s="83">
        <v>48</v>
      </c>
      <c r="P13" s="83">
        <v>23</v>
      </c>
      <c r="Q13" s="83">
        <v>0</v>
      </c>
      <c r="R13" s="83">
        <v>69</v>
      </c>
      <c r="S13" s="83">
        <v>46</v>
      </c>
      <c r="T13" s="83">
        <v>36</v>
      </c>
      <c r="U13" s="83">
        <v>0</v>
      </c>
      <c r="V13" s="83">
        <v>58</v>
      </c>
      <c r="W13" s="83">
        <v>24</v>
      </c>
      <c r="X13" s="83">
        <v>13</v>
      </c>
      <c r="Y13" s="180">
        <v>13</v>
      </c>
      <c r="Z13" s="83">
        <v>86</v>
      </c>
      <c r="AA13" s="83">
        <v>12</v>
      </c>
      <c r="AB13" s="83">
        <v>23</v>
      </c>
      <c r="AC13" s="83">
        <v>67</v>
      </c>
      <c r="AD13" s="83">
        <v>22</v>
      </c>
      <c r="AE13" s="83">
        <v>51</v>
      </c>
      <c r="AF13" s="83">
        <v>40</v>
      </c>
      <c r="AG13" s="83">
        <v>30</v>
      </c>
      <c r="AH13" s="83">
        <v>51</v>
      </c>
      <c r="AI13" s="6">
        <v>52</v>
      </c>
      <c r="AJ13" s="6">
        <v>40</v>
      </c>
      <c r="AK13" s="6">
        <v>30</v>
      </c>
      <c r="AL13" s="215">
        <f t="shared" si="0"/>
        <v>47.666666666666664</v>
      </c>
      <c r="AM13" s="215">
        <f t="shared" si="1"/>
        <v>42.6</v>
      </c>
      <c r="AN13" s="215">
        <f t="shared" si="2"/>
        <v>40.666666666666664</v>
      </c>
      <c r="AO13" s="215">
        <f t="shared" si="3"/>
        <v>40.6</v>
      </c>
    </row>
    <row r="14" spans="1:41">
      <c r="A14" s="3" t="s">
        <v>542</v>
      </c>
      <c r="B14" s="3" t="s">
        <v>543</v>
      </c>
      <c r="C14" s="3">
        <v>6</v>
      </c>
      <c r="D14" s="3" t="s">
        <v>759</v>
      </c>
      <c r="E14" s="83">
        <v>23</v>
      </c>
      <c r="F14" s="83">
        <v>51</v>
      </c>
      <c r="G14" s="83">
        <v>35</v>
      </c>
      <c r="H14" s="83">
        <v>26</v>
      </c>
      <c r="I14" s="83">
        <v>25</v>
      </c>
      <c r="J14" s="83">
        <v>24</v>
      </c>
      <c r="K14" s="83">
        <v>26</v>
      </c>
      <c r="L14" s="83">
        <v>29</v>
      </c>
      <c r="M14" s="83">
        <v>24</v>
      </c>
      <c r="N14" s="83">
        <v>34</v>
      </c>
      <c r="O14" s="83">
        <v>20</v>
      </c>
      <c r="P14" s="83">
        <v>23</v>
      </c>
      <c r="Q14" s="83">
        <v>32</v>
      </c>
      <c r="R14" s="83">
        <v>35</v>
      </c>
      <c r="S14" s="83">
        <v>30</v>
      </c>
      <c r="T14" s="83">
        <v>30</v>
      </c>
      <c r="U14" s="83">
        <v>13</v>
      </c>
      <c r="V14" s="83">
        <v>11</v>
      </c>
      <c r="W14" s="83">
        <v>24</v>
      </c>
      <c r="X14" s="83">
        <v>29</v>
      </c>
      <c r="Y14" s="180">
        <v>29</v>
      </c>
      <c r="Z14" s="83">
        <v>14</v>
      </c>
      <c r="AA14" s="83">
        <v>26</v>
      </c>
      <c r="AB14" s="83">
        <v>25</v>
      </c>
      <c r="AC14" s="83">
        <v>28</v>
      </c>
      <c r="AD14" s="83">
        <v>15</v>
      </c>
      <c r="AE14" s="83">
        <v>34</v>
      </c>
      <c r="AF14" s="83">
        <v>72</v>
      </c>
      <c r="AG14" s="83">
        <v>48</v>
      </c>
      <c r="AH14" s="83">
        <v>19</v>
      </c>
      <c r="AI14" s="6">
        <v>16</v>
      </c>
      <c r="AJ14" s="6">
        <v>23</v>
      </c>
      <c r="AK14" s="6">
        <v>32</v>
      </c>
      <c r="AL14" s="215">
        <f t="shared" si="0"/>
        <v>19.333333333333332</v>
      </c>
      <c r="AM14" s="215">
        <f t="shared" si="1"/>
        <v>35.6</v>
      </c>
      <c r="AN14" s="215">
        <f t="shared" si="2"/>
        <v>23.666666666666668</v>
      </c>
      <c r="AO14" s="215">
        <f t="shared" si="3"/>
        <v>27.6</v>
      </c>
    </row>
    <row r="15" spans="1:41">
      <c r="A15" s="3" t="s">
        <v>628</v>
      </c>
      <c r="B15" s="3" t="s">
        <v>629</v>
      </c>
      <c r="C15" s="3">
        <v>7</v>
      </c>
      <c r="D15" s="3" t="s">
        <v>641</v>
      </c>
      <c r="E15" s="83">
        <v>78</v>
      </c>
      <c r="F15" s="83">
        <v>75</v>
      </c>
      <c r="G15" s="83">
        <v>81</v>
      </c>
      <c r="H15" s="83">
        <v>122</v>
      </c>
      <c r="I15" s="83">
        <v>85</v>
      </c>
      <c r="J15" s="83">
        <v>97</v>
      </c>
      <c r="K15" s="83">
        <v>52</v>
      </c>
      <c r="L15" s="83">
        <v>94</v>
      </c>
      <c r="M15" s="83">
        <v>89</v>
      </c>
      <c r="N15" s="83">
        <v>70</v>
      </c>
      <c r="O15" s="83">
        <v>62</v>
      </c>
      <c r="P15" s="83">
        <v>43</v>
      </c>
      <c r="Q15" s="83">
        <v>61</v>
      </c>
      <c r="R15" s="83">
        <v>35</v>
      </c>
      <c r="S15" s="83">
        <v>57</v>
      </c>
      <c r="T15" s="83">
        <v>44</v>
      </c>
      <c r="U15" s="83">
        <v>66</v>
      </c>
      <c r="V15" s="83">
        <v>57</v>
      </c>
      <c r="W15" s="83">
        <v>54</v>
      </c>
      <c r="X15" s="83">
        <v>72</v>
      </c>
      <c r="Y15" s="180">
        <v>72</v>
      </c>
      <c r="Z15" s="83">
        <v>75</v>
      </c>
      <c r="AA15" s="83">
        <v>104</v>
      </c>
      <c r="AB15" s="83">
        <v>96</v>
      </c>
      <c r="AC15" s="83">
        <v>48</v>
      </c>
      <c r="AD15" s="83">
        <v>47</v>
      </c>
      <c r="AE15" s="83">
        <v>60</v>
      </c>
      <c r="AF15" s="83">
        <v>49</v>
      </c>
      <c r="AG15" s="83">
        <v>59</v>
      </c>
      <c r="AH15" s="83">
        <v>53</v>
      </c>
      <c r="AI15" s="6">
        <v>61</v>
      </c>
      <c r="AJ15" s="6">
        <v>75</v>
      </c>
      <c r="AK15" s="6">
        <v>19</v>
      </c>
      <c r="AL15" s="215">
        <f t="shared" si="0"/>
        <v>63</v>
      </c>
      <c r="AM15" s="215">
        <f t="shared" si="1"/>
        <v>59.4</v>
      </c>
      <c r="AN15" s="215">
        <f t="shared" si="2"/>
        <v>51.666666666666664</v>
      </c>
      <c r="AO15" s="215">
        <f t="shared" si="3"/>
        <v>53.4</v>
      </c>
    </row>
    <row r="16" spans="1:41">
      <c r="A16" s="3" t="s">
        <v>630</v>
      </c>
      <c r="B16" s="3" t="s">
        <v>631</v>
      </c>
      <c r="C16" s="3">
        <v>8</v>
      </c>
      <c r="D16" s="3" t="s">
        <v>759</v>
      </c>
      <c r="E16" s="83">
        <v>36</v>
      </c>
      <c r="F16" s="83">
        <v>47</v>
      </c>
      <c r="G16" s="83">
        <v>23</v>
      </c>
      <c r="H16" s="83">
        <v>47</v>
      </c>
      <c r="I16" s="83">
        <v>31</v>
      </c>
      <c r="J16" s="83">
        <v>31</v>
      </c>
      <c r="K16" s="83">
        <v>30</v>
      </c>
      <c r="L16" s="83">
        <v>22</v>
      </c>
      <c r="M16" s="83">
        <v>42</v>
      </c>
      <c r="N16" s="83">
        <v>46</v>
      </c>
      <c r="O16" s="83">
        <v>47</v>
      </c>
      <c r="P16" s="83">
        <v>26</v>
      </c>
      <c r="Q16" s="83">
        <v>40</v>
      </c>
      <c r="R16" s="83">
        <v>26</v>
      </c>
      <c r="S16" s="83">
        <v>30</v>
      </c>
      <c r="T16" s="83">
        <v>13</v>
      </c>
      <c r="U16" s="83">
        <v>18</v>
      </c>
      <c r="V16" s="83">
        <v>21</v>
      </c>
      <c r="W16" s="83">
        <v>52</v>
      </c>
      <c r="X16" s="83">
        <v>18</v>
      </c>
      <c r="Y16" s="180">
        <v>18</v>
      </c>
      <c r="Z16" s="83">
        <v>63</v>
      </c>
      <c r="AA16" s="83">
        <v>26</v>
      </c>
      <c r="AB16" s="83">
        <v>41</v>
      </c>
      <c r="AC16" s="83">
        <v>66</v>
      </c>
      <c r="AD16" s="83">
        <v>33</v>
      </c>
      <c r="AE16" s="83">
        <v>42</v>
      </c>
      <c r="AF16" s="83">
        <v>90</v>
      </c>
      <c r="AG16" s="83">
        <v>31</v>
      </c>
      <c r="AH16" s="83">
        <v>54</v>
      </c>
      <c r="AI16" s="6">
        <v>32</v>
      </c>
      <c r="AJ16" s="6">
        <v>27</v>
      </c>
      <c r="AK16" s="6">
        <v>30</v>
      </c>
      <c r="AL16" s="215">
        <f t="shared" si="0"/>
        <v>37.666666666666664</v>
      </c>
      <c r="AM16" s="215">
        <f t="shared" si="1"/>
        <v>46.8</v>
      </c>
      <c r="AN16" s="215">
        <f t="shared" si="2"/>
        <v>29.666666666666668</v>
      </c>
      <c r="AO16" s="215">
        <f t="shared" si="3"/>
        <v>34.799999999999997</v>
      </c>
    </row>
    <row r="17" spans="1:41">
      <c r="A17" s="3" t="s">
        <v>632</v>
      </c>
      <c r="B17" s="3" t="s">
        <v>633</v>
      </c>
      <c r="C17" s="3">
        <v>9</v>
      </c>
      <c r="D17" s="3" t="s">
        <v>641</v>
      </c>
      <c r="E17" s="83">
        <v>118</v>
      </c>
      <c r="F17" s="83">
        <v>112</v>
      </c>
      <c r="G17" s="83">
        <v>100</v>
      </c>
      <c r="H17" s="83">
        <v>190</v>
      </c>
      <c r="I17" s="83">
        <v>170</v>
      </c>
      <c r="J17" s="83">
        <v>156</v>
      </c>
      <c r="K17" s="83">
        <v>138</v>
      </c>
      <c r="L17" s="83">
        <v>195</v>
      </c>
      <c r="M17" s="83">
        <v>218</v>
      </c>
      <c r="N17" s="83">
        <v>132</v>
      </c>
      <c r="O17" s="83">
        <v>184</v>
      </c>
      <c r="P17" s="83">
        <v>141</v>
      </c>
      <c r="Q17" s="83">
        <v>107</v>
      </c>
      <c r="R17" s="83">
        <v>172</v>
      </c>
      <c r="S17" s="83">
        <v>99</v>
      </c>
      <c r="T17" s="83">
        <v>164</v>
      </c>
      <c r="U17" s="83">
        <v>161</v>
      </c>
      <c r="V17" s="83">
        <v>177</v>
      </c>
      <c r="W17" s="83">
        <v>139</v>
      </c>
      <c r="X17" s="83">
        <v>166</v>
      </c>
      <c r="Y17" s="180">
        <v>166</v>
      </c>
      <c r="Z17" s="83">
        <v>135</v>
      </c>
      <c r="AA17" s="83">
        <v>111</v>
      </c>
      <c r="AB17" s="83">
        <v>164</v>
      </c>
      <c r="AC17" s="83">
        <v>107</v>
      </c>
      <c r="AD17" s="83">
        <v>133</v>
      </c>
      <c r="AE17" s="83">
        <v>115</v>
      </c>
      <c r="AF17" s="83">
        <v>150</v>
      </c>
      <c r="AG17" s="83">
        <v>162</v>
      </c>
      <c r="AH17" s="83">
        <v>123</v>
      </c>
      <c r="AI17" s="6">
        <v>150</v>
      </c>
      <c r="AJ17" s="6">
        <v>92</v>
      </c>
      <c r="AK17" s="6">
        <v>96</v>
      </c>
      <c r="AL17" s="215">
        <f t="shared" si="0"/>
        <v>121.66666666666667</v>
      </c>
      <c r="AM17" s="215">
        <f t="shared" si="1"/>
        <v>135.4</v>
      </c>
      <c r="AN17" s="215">
        <f t="shared" si="2"/>
        <v>112.66666666666667</v>
      </c>
      <c r="AO17" s="215">
        <f t="shared" si="3"/>
        <v>124.6</v>
      </c>
    </row>
    <row r="18" spans="1:41">
      <c r="A18" s="3" t="s">
        <v>634</v>
      </c>
      <c r="B18" s="3" t="s">
        <v>715</v>
      </c>
      <c r="C18" s="3">
        <v>10</v>
      </c>
      <c r="D18" s="3" t="s">
        <v>664</v>
      </c>
      <c r="E18" s="83">
        <v>103</v>
      </c>
      <c r="F18" s="83">
        <v>36</v>
      </c>
      <c r="G18" s="83">
        <v>171</v>
      </c>
      <c r="H18" s="83">
        <v>100</v>
      </c>
      <c r="I18" s="83">
        <v>98</v>
      </c>
      <c r="J18" s="83">
        <v>123</v>
      </c>
      <c r="K18" s="83">
        <v>75</v>
      </c>
      <c r="L18" s="83">
        <v>151</v>
      </c>
      <c r="M18" s="83">
        <v>104</v>
      </c>
      <c r="N18" s="83">
        <v>129</v>
      </c>
      <c r="O18" s="83">
        <v>102</v>
      </c>
      <c r="P18" s="83">
        <v>73</v>
      </c>
      <c r="Q18" s="83">
        <v>103</v>
      </c>
      <c r="R18" s="83">
        <v>157</v>
      </c>
      <c r="S18" s="83">
        <v>136</v>
      </c>
      <c r="T18" s="83">
        <v>131</v>
      </c>
      <c r="U18" s="83">
        <v>102</v>
      </c>
      <c r="V18" s="83">
        <v>73</v>
      </c>
      <c r="W18" s="83">
        <v>197</v>
      </c>
      <c r="X18" s="83">
        <v>109</v>
      </c>
      <c r="Y18" s="180">
        <v>109</v>
      </c>
      <c r="Z18" s="83">
        <v>155</v>
      </c>
      <c r="AA18" s="83">
        <v>131</v>
      </c>
      <c r="AB18" s="83">
        <v>85</v>
      </c>
      <c r="AC18" s="83">
        <v>165</v>
      </c>
      <c r="AD18" s="83">
        <v>48</v>
      </c>
      <c r="AE18" s="83">
        <v>100</v>
      </c>
      <c r="AF18" s="83">
        <v>83</v>
      </c>
      <c r="AG18" s="83">
        <v>37</v>
      </c>
      <c r="AH18" s="83">
        <v>115</v>
      </c>
      <c r="AI18" s="6">
        <v>77</v>
      </c>
      <c r="AJ18" s="6">
        <v>8</v>
      </c>
      <c r="AK18" s="6">
        <v>21</v>
      </c>
      <c r="AL18" s="215">
        <f t="shared" si="0"/>
        <v>66.666666666666671</v>
      </c>
      <c r="AM18" s="215">
        <f t="shared" si="1"/>
        <v>64</v>
      </c>
      <c r="AN18" s="215">
        <f t="shared" si="2"/>
        <v>35.333333333333336</v>
      </c>
      <c r="AO18" s="215">
        <f t="shared" si="3"/>
        <v>51.6</v>
      </c>
    </row>
    <row r="19" spans="1:41">
      <c r="A19" s="3" t="s">
        <v>716</v>
      </c>
      <c r="B19" s="3" t="s">
        <v>717</v>
      </c>
      <c r="C19" s="3">
        <v>11</v>
      </c>
      <c r="D19" s="3" t="s">
        <v>541</v>
      </c>
      <c r="E19" s="83">
        <v>20</v>
      </c>
      <c r="F19" s="83">
        <v>40</v>
      </c>
      <c r="G19" s="83">
        <v>58</v>
      </c>
      <c r="H19" s="83">
        <v>18</v>
      </c>
      <c r="I19" s="83">
        <v>37</v>
      </c>
      <c r="J19" s="83">
        <v>71</v>
      </c>
      <c r="K19" s="83">
        <v>35</v>
      </c>
      <c r="L19" s="83">
        <v>36</v>
      </c>
      <c r="M19" s="83">
        <v>34</v>
      </c>
      <c r="N19" s="83">
        <v>17</v>
      </c>
      <c r="O19" s="83">
        <v>36</v>
      </c>
      <c r="P19" s="83">
        <v>35</v>
      </c>
      <c r="Q19" s="83">
        <v>70</v>
      </c>
      <c r="R19" s="83">
        <v>35</v>
      </c>
      <c r="S19" s="83">
        <v>0</v>
      </c>
      <c r="T19" s="83">
        <v>18</v>
      </c>
      <c r="U19" s="83">
        <v>54</v>
      </c>
      <c r="V19" s="83">
        <v>18</v>
      </c>
      <c r="W19" s="83">
        <v>75</v>
      </c>
      <c r="X19" s="83">
        <v>57</v>
      </c>
      <c r="Y19" s="180">
        <v>57</v>
      </c>
      <c r="Z19" s="83">
        <v>52</v>
      </c>
      <c r="AA19" s="83">
        <v>0</v>
      </c>
      <c r="AB19" s="83">
        <v>18</v>
      </c>
      <c r="AC19" s="83">
        <v>37</v>
      </c>
      <c r="AD19" s="83">
        <v>112</v>
      </c>
      <c r="AE19" s="83">
        <v>73</v>
      </c>
      <c r="AF19" s="83">
        <v>36</v>
      </c>
      <c r="AG19" s="83">
        <v>72</v>
      </c>
      <c r="AH19" s="83">
        <v>74</v>
      </c>
      <c r="AI19" s="6">
        <v>37</v>
      </c>
      <c r="AJ19" s="6">
        <v>35</v>
      </c>
      <c r="AK19" s="6">
        <v>0</v>
      </c>
      <c r="AL19" s="215">
        <f t="shared" si="0"/>
        <v>48.666666666666664</v>
      </c>
      <c r="AM19" s="215">
        <f t="shared" si="1"/>
        <v>50.8</v>
      </c>
      <c r="AN19" s="215">
        <f t="shared" si="2"/>
        <v>24</v>
      </c>
      <c r="AO19" s="215">
        <f t="shared" si="3"/>
        <v>43.6</v>
      </c>
    </row>
    <row r="20" spans="1:41">
      <c r="A20" s="3" t="s">
        <v>718</v>
      </c>
      <c r="B20" s="3" t="s">
        <v>719</v>
      </c>
      <c r="C20" s="3">
        <v>12</v>
      </c>
      <c r="D20" s="3" t="s">
        <v>664</v>
      </c>
      <c r="E20" s="83">
        <v>145</v>
      </c>
      <c r="F20" s="83">
        <v>43</v>
      </c>
      <c r="G20" s="83">
        <v>20</v>
      </c>
      <c r="H20" s="83">
        <v>19</v>
      </c>
      <c r="I20" s="83">
        <v>58</v>
      </c>
      <c r="J20" s="83">
        <v>71</v>
      </c>
      <c r="K20" s="83">
        <v>70</v>
      </c>
      <c r="L20" s="83">
        <v>50</v>
      </c>
      <c r="M20" s="83">
        <v>108</v>
      </c>
      <c r="N20" s="83">
        <v>31</v>
      </c>
      <c r="O20" s="83">
        <v>75</v>
      </c>
      <c r="P20" s="83">
        <v>15</v>
      </c>
      <c r="Q20" s="83">
        <v>65</v>
      </c>
      <c r="R20" s="83">
        <v>45</v>
      </c>
      <c r="S20" s="83">
        <v>30</v>
      </c>
      <c r="T20" s="83">
        <v>16</v>
      </c>
      <c r="U20" s="83">
        <v>49</v>
      </c>
      <c r="V20" s="83">
        <v>47</v>
      </c>
      <c r="W20" s="83">
        <v>34</v>
      </c>
      <c r="X20" s="83">
        <v>111</v>
      </c>
      <c r="Y20" s="180">
        <v>111</v>
      </c>
      <c r="Z20" s="83">
        <v>169</v>
      </c>
      <c r="AA20" s="83">
        <v>136</v>
      </c>
      <c r="AB20" s="83">
        <v>150</v>
      </c>
      <c r="AC20" s="83">
        <v>96</v>
      </c>
      <c r="AD20" s="83">
        <v>130</v>
      </c>
      <c r="AE20" s="83">
        <v>46</v>
      </c>
      <c r="AF20" s="83">
        <v>80</v>
      </c>
      <c r="AG20" s="83">
        <v>114</v>
      </c>
      <c r="AH20" s="83">
        <v>63</v>
      </c>
      <c r="AI20" s="6">
        <v>16</v>
      </c>
      <c r="AJ20" s="6">
        <v>112</v>
      </c>
      <c r="AK20" s="6">
        <v>159</v>
      </c>
      <c r="AL20" s="215">
        <f t="shared" si="0"/>
        <v>63.666666666666664</v>
      </c>
      <c r="AM20" s="215">
        <f t="shared" si="1"/>
        <v>77</v>
      </c>
      <c r="AN20" s="215">
        <f t="shared" si="2"/>
        <v>95.666666666666671</v>
      </c>
      <c r="AO20" s="215">
        <f t="shared" si="3"/>
        <v>92.8</v>
      </c>
    </row>
    <row r="21" spans="1:41">
      <c r="A21" s="3" t="s">
        <v>711</v>
      </c>
      <c r="B21" s="3" t="s">
        <v>712</v>
      </c>
      <c r="C21" s="3">
        <v>13</v>
      </c>
      <c r="D21" s="3" t="s">
        <v>713</v>
      </c>
      <c r="E21" s="83">
        <v>78</v>
      </c>
      <c r="F21" s="83">
        <v>51</v>
      </c>
      <c r="G21" s="83">
        <v>62</v>
      </c>
      <c r="H21" s="83">
        <v>49</v>
      </c>
      <c r="I21" s="83">
        <v>52</v>
      </c>
      <c r="J21" s="83">
        <v>70</v>
      </c>
      <c r="K21" s="83">
        <v>87</v>
      </c>
      <c r="L21" s="83">
        <v>64</v>
      </c>
      <c r="M21" s="83">
        <v>60</v>
      </c>
      <c r="N21" s="83">
        <v>44</v>
      </c>
      <c r="O21" s="83">
        <v>59</v>
      </c>
      <c r="P21" s="83">
        <v>72</v>
      </c>
      <c r="Q21" s="83">
        <v>49</v>
      </c>
      <c r="R21" s="83">
        <v>62</v>
      </c>
      <c r="S21" s="83">
        <v>43</v>
      </c>
      <c r="T21" s="83">
        <v>25</v>
      </c>
      <c r="U21" s="83">
        <v>86</v>
      </c>
      <c r="V21" s="83">
        <v>68</v>
      </c>
      <c r="W21" s="83">
        <v>39</v>
      </c>
      <c r="X21" s="83">
        <v>72</v>
      </c>
      <c r="Y21" s="180">
        <v>72</v>
      </c>
      <c r="Z21" s="83">
        <v>38</v>
      </c>
      <c r="AA21" s="83">
        <v>39</v>
      </c>
      <c r="AB21" s="83">
        <v>48</v>
      </c>
      <c r="AC21" s="83">
        <v>34</v>
      </c>
      <c r="AD21" s="83">
        <v>39</v>
      </c>
      <c r="AE21" s="83">
        <v>26</v>
      </c>
      <c r="AF21" s="83">
        <v>26</v>
      </c>
      <c r="AG21" s="83">
        <v>44</v>
      </c>
      <c r="AH21" s="83">
        <v>47</v>
      </c>
      <c r="AI21" s="6">
        <v>36</v>
      </c>
      <c r="AJ21" s="6">
        <v>35</v>
      </c>
      <c r="AK21" s="6">
        <v>28</v>
      </c>
      <c r="AL21" s="215">
        <f t="shared" si="0"/>
        <v>39.333333333333336</v>
      </c>
      <c r="AM21" s="215">
        <f t="shared" si="1"/>
        <v>37.6</v>
      </c>
      <c r="AN21" s="215">
        <f t="shared" si="2"/>
        <v>33</v>
      </c>
      <c r="AO21" s="215">
        <f t="shared" si="3"/>
        <v>38</v>
      </c>
    </row>
    <row r="22" spans="1:41">
      <c r="A22" s="3" t="s">
        <v>714</v>
      </c>
      <c r="B22" s="3" t="s">
        <v>530</v>
      </c>
      <c r="C22" s="3">
        <v>14</v>
      </c>
      <c r="D22" s="3" t="s">
        <v>641</v>
      </c>
      <c r="E22" s="83">
        <v>61</v>
      </c>
      <c r="F22" s="83">
        <v>103</v>
      </c>
      <c r="G22" s="83">
        <v>88</v>
      </c>
      <c r="H22" s="83">
        <v>95</v>
      </c>
      <c r="I22" s="83">
        <v>58</v>
      </c>
      <c r="J22" s="83">
        <v>87</v>
      </c>
      <c r="K22" s="83">
        <v>83</v>
      </c>
      <c r="L22" s="83">
        <v>83</v>
      </c>
      <c r="M22" s="83">
        <v>93</v>
      </c>
      <c r="N22" s="83">
        <v>56</v>
      </c>
      <c r="O22" s="83">
        <v>61</v>
      </c>
      <c r="P22" s="83">
        <v>32</v>
      </c>
      <c r="Q22" s="83">
        <v>79</v>
      </c>
      <c r="R22" s="83">
        <v>33</v>
      </c>
      <c r="S22" s="83">
        <v>8</v>
      </c>
      <c r="T22" s="83">
        <v>15</v>
      </c>
      <c r="U22" s="83">
        <v>71</v>
      </c>
      <c r="V22" s="83">
        <v>55</v>
      </c>
      <c r="W22" s="83">
        <v>53</v>
      </c>
      <c r="X22" s="83">
        <v>46</v>
      </c>
      <c r="Y22" s="180">
        <v>46</v>
      </c>
      <c r="Z22" s="83">
        <v>62</v>
      </c>
      <c r="AA22" s="83">
        <v>67</v>
      </c>
      <c r="AB22" s="83">
        <v>68</v>
      </c>
      <c r="AC22" s="83">
        <v>125</v>
      </c>
      <c r="AD22" s="83">
        <v>83</v>
      </c>
      <c r="AE22" s="83">
        <v>76</v>
      </c>
      <c r="AF22" s="83">
        <v>93</v>
      </c>
      <c r="AG22" s="83">
        <v>81</v>
      </c>
      <c r="AH22" s="83">
        <v>71</v>
      </c>
      <c r="AI22" s="6">
        <v>35</v>
      </c>
      <c r="AJ22" s="6">
        <v>47</v>
      </c>
      <c r="AK22" s="6">
        <v>25</v>
      </c>
      <c r="AL22" s="215">
        <f t="shared" si="0"/>
        <v>51</v>
      </c>
      <c r="AM22" s="215">
        <f t="shared" si="1"/>
        <v>65.400000000000006</v>
      </c>
      <c r="AN22" s="215">
        <f t="shared" si="2"/>
        <v>35.666666666666664</v>
      </c>
      <c r="AO22" s="215">
        <f t="shared" si="3"/>
        <v>51.8</v>
      </c>
    </row>
    <row r="23" spans="1:41">
      <c r="A23" s="3" t="s">
        <v>620</v>
      </c>
      <c r="B23" s="3" t="s">
        <v>621</v>
      </c>
      <c r="C23" s="3">
        <v>15</v>
      </c>
      <c r="D23" s="3" t="s">
        <v>541</v>
      </c>
      <c r="E23" s="83">
        <v>33</v>
      </c>
      <c r="F23" s="83">
        <v>49</v>
      </c>
      <c r="G23" s="83">
        <v>83</v>
      </c>
      <c r="H23" s="83">
        <v>32</v>
      </c>
      <c r="I23" s="83">
        <v>82</v>
      </c>
      <c r="J23" s="83">
        <v>19</v>
      </c>
      <c r="K23" s="83">
        <v>19</v>
      </c>
      <c r="L23" s="83">
        <v>18</v>
      </c>
      <c r="M23" s="83">
        <v>62</v>
      </c>
      <c r="N23" s="83">
        <v>58</v>
      </c>
      <c r="O23" s="83">
        <v>39</v>
      </c>
      <c r="P23" s="83">
        <v>38</v>
      </c>
      <c r="Q23" s="83">
        <v>38</v>
      </c>
      <c r="R23" s="83">
        <v>19</v>
      </c>
      <c r="S23" s="83">
        <v>46</v>
      </c>
      <c r="T23" s="83">
        <v>29</v>
      </c>
      <c r="U23" s="83">
        <v>90</v>
      </c>
      <c r="V23" s="83">
        <v>0</v>
      </c>
      <c r="W23" s="83">
        <v>10</v>
      </c>
      <c r="X23" s="83">
        <v>0</v>
      </c>
      <c r="Y23" s="180">
        <v>0</v>
      </c>
      <c r="Z23" s="83">
        <v>51</v>
      </c>
      <c r="AA23" s="83">
        <v>39</v>
      </c>
      <c r="AB23" s="83">
        <v>58</v>
      </c>
      <c r="AC23" s="83">
        <v>18</v>
      </c>
      <c r="AD23" s="83">
        <v>54</v>
      </c>
      <c r="AE23" s="83">
        <v>26</v>
      </c>
      <c r="AF23" s="83">
        <v>52</v>
      </c>
      <c r="AG23" s="83">
        <v>33</v>
      </c>
      <c r="AH23" s="83">
        <v>27</v>
      </c>
      <c r="AI23" s="6">
        <v>18</v>
      </c>
      <c r="AJ23" s="6">
        <v>18</v>
      </c>
      <c r="AK23" s="6">
        <v>17</v>
      </c>
      <c r="AL23" s="215">
        <f t="shared" si="0"/>
        <v>21</v>
      </c>
      <c r="AM23" s="215">
        <f t="shared" si="1"/>
        <v>29.6</v>
      </c>
      <c r="AN23" s="215">
        <f t="shared" si="2"/>
        <v>17.666666666666668</v>
      </c>
      <c r="AO23" s="215">
        <f t="shared" si="3"/>
        <v>22.6</v>
      </c>
    </row>
    <row r="24" spans="1:41">
      <c r="A24" s="3" t="s">
        <v>622</v>
      </c>
      <c r="B24" s="3" t="s">
        <v>925</v>
      </c>
      <c r="C24" s="3">
        <v>16</v>
      </c>
      <c r="D24" s="3" t="s">
        <v>541</v>
      </c>
      <c r="E24" s="83">
        <v>26</v>
      </c>
      <c r="F24" s="83">
        <v>44</v>
      </c>
      <c r="G24" s="83">
        <v>17</v>
      </c>
      <c r="H24" s="83">
        <v>17</v>
      </c>
      <c r="I24" s="83">
        <v>33</v>
      </c>
      <c r="J24" s="83">
        <v>8</v>
      </c>
      <c r="K24" s="83">
        <v>8</v>
      </c>
      <c r="L24" s="83">
        <v>40</v>
      </c>
      <c r="M24" s="83">
        <v>33</v>
      </c>
      <c r="N24" s="83">
        <v>8</v>
      </c>
      <c r="O24" s="83">
        <v>8</v>
      </c>
      <c r="P24" s="83">
        <v>0</v>
      </c>
      <c r="Q24" s="83">
        <v>29</v>
      </c>
      <c r="R24" s="83">
        <v>18</v>
      </c>
      <c r="S24" s="83">
        <v>25</v>
      </c>
      <c r="T24" s="83">
        <v>57</v>
      </c>
      <c r="U24" s="83">
        <v>9</v>
      </c>
      <c r="V24" s="83">
        <v>51</v>
      </c>
      <c r="W24" s="83">
        <v>36</v>
      </c>
      <c r="X24" s="83">
        <v>45</v>
      </c>
      <c r="Y24" s="180">
        <v>45</v>
      </c>
      <c r="Z24" s="83">
        <v>19</v>
      </c>
      <c r="AA24" s="83">
        <v>28</v>
      </c>
      <c r="AB24" s="83">
        <v>18</v>
      </c>
      <c r="AC24" s="83">
        <v>18</v>
      </c>
      <c r="AD24" s="83">
        <v>36</v>
      </c>
      <c r="AE24" s="83">
        <v>25</v>
      </c>
      <c r="AF24" s="83">
        <v>17</v>
      </c>
      <c r="AG24" s="83">
        <v>8</v>
      </c>
      <c r="AH24" s="83">
        <v>17</v>
      </c>
      <c r="AI24" s="6">
        <v>42</v>
      </c>
      <c r="AJ24" s="6">
        <v>33</v>
      </c>
      <c r="AK24" s="6">
        <v>32</v>
      </c>
      <c r="AL24" s="215">
        <f t="shared" si="0"/>
        <v>30.666666666666668</v>
      </c>
      <c r="AM24" s="215">
        <f t="shared" si="1"/>
        <v>23.4</v>
      </c>
      <c r="AN24" s="215">
        <f t="shared" si="2"/>
        <v>35.666666666666664</v>
      </c>
      <c r="AO24" s="215">
        <f t="shared" si="3"/>
        <v>26.4</v>
      </c>
    </row>
    <row r="25" spans="1:41">
      <c r="A25" s="3" t="s">
        <v>926</v>
      </c>
      <c r="B25" s="3" t="s">
        <v>927</v>
      </c>
      <c r="C25" s="3">
        <v>17</v>
      </c>
      <c r="D25" s="3" t="s">
        <v>664</v>
      </c>
      <c r="E25" s="83">
        <v>154</v>
      </c>
      <c r="F25" s="83">
        <v>106</v>
      </c>
      <c r="G25" s="83">
        <v>108</v>
      </c>
      <c r="H25" s="83">
        <v>104</v>
      </c>
      <c r="I25" s="83">
        <v>112</v>
      </c>
      <c r="J25" s="83">
        <v>108</v>
      </c>
      <c r="K25" s="83">
        <v>108</v>
      </c>
      <c r="L25" s="83">
        <v>116</v>
      </c>
      <c r="M25" s="83">
        <v>124</v>
      </c>
      <c r="N25" s="83">
        <v>120</v>
      </c>
      <c r="O25" s="83">
        <v>72</v>
      </c>
      <c r="P25" s="83">
        <v>92</v>
      </c>
      <c r="Q25" s="83">
        <v>88</v>
      </c>
      <c r="R25" s="83">
        <v>104</v>
      </c>
      <c r="S25" s="83">
        <v>73</v>
      </c>
      <c r="T25" s="83">
        <v>55</v>
      </c>
      <c r="U25" s="83">
        <v>62</v>
      </c>
      <c r="V25" s="83">
        <v>43</v>
      </c>
      <c r="W25" s="83">
        <v>65</v>
      </c>
      <c r="X25" s="83">
        <v>69</v>
      </c>
      <c r="Y25" s="180">
        <v>69</v>
      </c>
      <c r="Z25" s="83">
        <v>69</v>
      </c>
      <c r="AA25" s="83">
        <v>44</v>
      </c>
      <c r="AB25" s="83">
        <v>57</v>
      </c>
      <c r="AC25" s="83">
        <v>40</v>
      </c>
      <c r="AD25" s="83">
        <v>73</v>
      </c>
      <c r="AE25" s="83">
        <v>61</v>
      </c>
      <c r="AF25" s="83">
        <v>84</v>
      </c>
      <c r="AG25" s="83">
        <v>58</v>
      </c>
      <c r="AH25" s="83">
        <v>39</v>
      </c>
      <c r="AI25" s="6">
        <v>45</v>
      </c>
      <c r="AJ25" s="6">
        <v>51</v>
      </c>
      <c r="AK25" s="6">
        <v>81</v>
      </c>
      <c r="AL25" s="215">
        <f t="shared" si="0"/>
        <v>45</v>
      </c>
      <c r="AM25" s="215">
        <f t="shared" si="1"/>
        <v>55.4</v>
      </c>
      <c r="AN25" s="215">
        <f t="shared" si="2"/>
        <v>59</v>
      </c>
      <c r="AO25" s="215">
        <f t="shared" si="3"/>
        <v>54.8</v>
      </c>
    </row>
    <row r="26" spans="1:41">
      <c r="A26" s="3" t="s">
        <v>928</v>
      </c>
      <c r="B26" s="3" t="s">
        <v>929</v>
      </c>
      <c r="C26" s="3">
        <v>18</v>
      </c>
      <c r="D26" s="3" t="s">
        <v>713</v>
      </c>
      <c r="E26" s="83">
        <v>120</v>
      </c>
      <c r="F26" s="83">
        <v>108</v>
      </c>
      <c r="G26" s="83">
        <v>41</v>
      </c>
      <c r="H26" s="83">
        <v>85</v>
      </c>
      <c r="I26" s="83">
        <v>55</v>
      </c>
      <c r="J26" s="83">
        <v>95</v>
      </c>
      <c r="K26" s="83">
        <v>108</v>
      </c>
      <c r="L26" s="83">
        <v>98</v>
      </c>
      <c r="M26" s="83">
        <v>58</v>
      </c>
      <c r="N26" s="83">
        <v>100</v>
      </c>
      <c r="O26" s="83">
        <v>81</v>
      </c>
      <c r="P26" s="83">
        <v>67</v>
      </c>
      <c r="Q26" s="83">
        <v>86</v>
      </c>
      <c r="R26" s="83">
        <v>55</v>
      </c>
      <c r="S26" s="83">
        <v>111</v>
      </c>
      <c r="T26" s="83">
        <v>86</v>
      </c>
      <c r="U26" s="83">
        <v>94</v>
      </c>
      <c r="V26" s="83">
        <v>99</v>
      </c>
      <c r="W26" s="83">
        <v>87</v>
      </c>
      <c r="X26" s="83">
        <v>61</v>
      </c>
      <c r="Y26" s="180">
        <v>61</v>
      </c>
      <c r="Z26" s="83">
        <v>49</v>
      </c>
      <c r="AA26" s="83">
        <v>47</v>
      </c>
      <c r="AB26" s="83">
        <v>35</v>
      </c>
      <c r="AC26" s="83">
        <v>64</v>
      </c>
      <c r="AD26" s="83">
        <v>70</v>
      </c>
      <c r="AE26" s="83">
        <v>7</v>
      </c>
      <c r="AF26" s="83">
        <v>62</v>
      </c>
      <c r="AG26" s="83">
        <v>42</v>
      </c>
      <c r="AH26" s="83">
        <v>42</v>
      </c>
      <c r="AI26" s="6">
        <v>21</v>
      </c>
      <c r="AJ26" s="6">
        <v>54</v>
      </c>
      <c r="AK26" s="6">
        <v>58</v>
      </c>
      <c r="AL26" s="215">
        <f t="shared" si="0"/>
        <v>39</v>
      </c>
      <c r="AM26" s="215">
        <f t="shared" si="1"/>
        <v>44.2</v>
      </c>
      <c r="AN26" s="215">
        <f t="shared" si="2"/>
        <v>44.333333333333336</v>
      </c>
      <c r="AO26" s="215">
        <f t="shared" si="3"/>
        <v>43.4</v>
      </c>
    </row>
    <row r="27" spans="1:41">
      <c r="A27" s="3" t="s">
        <v>841</v>
      </c>
      <c r="B27" s="3" t="s">
        <v>659</v>
      </c>
      <c r="C27" s="3">
        <v>19</v>
      </c>
      <c r="D27" s="3" t="s">
        <v>713</v>
      </c>
      <c r="E27" s="83">
        <v>122</v>
      </c>
      <c r="F27" s="83">
        <v>55</v>
      </c>
      <c r="G27" s="83">
        <v>36</v>
      </c>
      <c r="H27" s="83">
        <v>36</v>
      </c>
      <c r="I27" s="83">
        <v>36</v>
      </c>
      <c r="J27" s="83">
        <v>36</v>
      </c>
      <c r="K27" s="83">
        <v>110</v>
      </c>
      <c r="L27" s="83">
        <v>29</v>
      </c>
      <c r="M27" s="83">
        <v>66</v>
      </c>
      <c r="N27" s="83">
        <v>86</v>
      </c>
      <c r="O27" s="83">
        <v>42</v>
      </c>
      <c r="P27" s="83">
        <v>61</v>
      </c>
      <c r="Q27" s="83">
        <v>0</v>
      </c>
      <c r="R27" s="83">
        <v>38</v>
      </c>
      <c r="S27" s="83">
        <v>12</v>
      </c>
      <c r="T27" s="83">
        <v>25</v>
      </c>
      <c r="U27" s="83">
        <v>63</v>
      </c>
      <c r="V27" s="83">
        <v>49</v>
      </c>
      <c r="W27" s="83">
        <v>60</v>
      </c>
      <c r="X27" s="83">
        <v>84</v>
      </c>
      <c r="Y27" s="180">
        <v>84</v>
      </c>
      <c r="Z27" s="83">
        <v>82</v>
      </c>
      <c r="AA27" s="83">
        <v>46</v>
      </c>
      <c r="AB27" s="83">
        <v>25</v>
      </c>
      <c r="AC27" s="83">
        <v>71</v>
      </c>
      <c r="AD27" s="83">
        <v>48</v>
      </c>
      <c r="AE27" s="83">
        <v>24</v>
      </c>
      <c r="AF27" s="83">
        <v>98</v>
      </c>
      <c r="AG27" s="83">
        <v>38</v>
      </c>
      <c r="AH27" s="83">
        <v>39</v>
      </c>
      <c r="AI27" s="6">
        <v>26</v>
      </c>
      <c r="AJ27" s="6">
        <v>0</v>
      </c>
      <c r="AK27" s="6">
        <v>25</v>
      </c>
      <c r="AL27" s="215">
        <f t="shared" si="0"/>
        <v>21.666666666666668</v>
      </c>
      <c r="AM27" s="215">
        <f t="shared" si="1"/>
        <v>40.200000000000003</v>
      </c>
      <c r="AN27" s="215">
        <f t="shared" si="2"/>
        <v>17</v>
      </c>
      <c r="AO27" s="215">
        <f t="shared" si="3"/>
        <v>25.6</v>
      </c>
    </row>
    <row r="28" spans="1:41">
      <c r="A28" s="3" t="s">
        <v>660</v>
      </c>
      <c r="B28" s="3" t="s">
        <v>661</v>
      </c>
      <c r="C28" s="3">
        <v>20</v>
      </c>
      <c r="D28" s="3" t="s">
        <v>541</v>
      </c>
      <c r="E28" s="83">
        <v>117</v>
      </c>
      <c r="F28" s="83">
        <v>111</v>
      </c>
      <c r="G28" s="83">
        <v>107</v>
      </c>
      <c r="H28" s="83">
        <v>51</v>
      </c>
      <c r="I28" s="83">
        <v>74</v>
      </c>
      <c r="J28" s="83">
        <v>0</v>
      </c>
      <c r="K28" s="83">
        <v>72</v>
      </c>
      <c r="L28" s="83">
        <v>70</v>
      </c>
      <c r="M28" s="83">
        <v>70</v>
      </c>
      <c r="N28" s="83">
        <v>71</v>
      </c>
      <c r="O28" s="83">
        <v>0</v>
      </c>
      <c r="P28" s="83">
        <v>47</v>
      </c>
      <c r="Q28" s="83">
        <v>23</v>
      </c>
      <c r="R28" s="83">
        <v>24</v>
      </c>
      <c r="S28" s="83">
        <v>0</v>
      </c>
      <c r="T28" s="83">
        <v>120</v>
      </c>
      <c r="U28" s="83">
        <v>49</v>
      </c>
      <c r="V28" s="83">
        <v>25</v>
      </c>
      <c r="W28" s="83">
        <v>71</v>
      </c>
      <c r="X28" s="83">
        <v>24</v>
      </c>
      <c r="Y28" s="180">
        <v>24</v>
      </c>
      <c r="Z28" s="83">
        <v>111</v>
      </c>
      <c r="AA28" s="83">
        <v>0</v>
      </c>
      <c r="AB28" s="83">
        <v>20</v>
      </c>
      <c r="AC28" s="83">
        <v>39</v>
      </c>
      <c r="AD28" s="83">
        <v>19</v>
      </c>
      <c r="AE28" s="83">
        <v>18</v>
      </c>
      <c r="AF28" s="83">
        <v>52</v>
      </c>
      <c r="AG28" s="83">
        <v>33</v>
      </c>
      <c r="AH28" s="83">
        <v>0</v>
      </c>
      <c r="AI28" s="6">
        <v>34</v>
      </c>
      <c r="AJ28" s="6">
        <v>50</v>
      </c>
      <c r="AK28" s="6">
        <v>81</v>
      </c>
      <c r="AL28" s="215">
        <f t="shared" si="0"/>
        <v>28</v>
      </c>
      <c r="AM28" s="215">
        <f t="shared" si="1"/>
        <v>33.799999999999997</v>
      </c>
      <c r="AN28" s="215">
        <f t="shared" si="2"/>
        <v>55</v>
      </c>
      <c r="AO28" s="215">
        <f t="shared" si="3"/>
        <v>39.6</v>
      </c>
    </row>
    <row r="29" spans="1:41">
      <c r="A29" s="3" t="s">
        <v>80</v>
      </c>
      <c r="B29" s="3" t="s">
        <v>747</v>
      </c>
      <c r="C29" s="3">
        <v>21</v>
      </c>
      <c r="D29" s="3" t="s">
        <v>759</v>
      </c>
      <c r="E29" s="83">
        <v>54</v>
      </c>
      <c r="F29" s="83">
        <v>44</v>
      </c>
      <c r="G29" s="83">
        <v>60</v>
      </c>
      <c r="H29" s="83">
        <v>62</v>
      </c>
      <c r="I29" s="83">
        <v>44</v>
      </c>
      <c r="J29" s="83">
        <v>35</v>
      </c>
      <c r="K29" s="83">
        <v>58</v>
      </c>
      <c r="L29" s="83">
        <v>64</v>
      </c>
      <c r="M29" s="83">
        <v>31</v>
      </c>
      <c r="N29" s="83">
        <v>24</v>
      </c>
      <c r="O29" s="83">
        <v>36</v>
      </c>
      <c r="P29" s="83">
        <v>36</v>
      </c>
      <c r="Q29" s="83">
        <v>36</v>
      </c>
      <c r="R29" s="83">
        <v>53</v>
      </c>
      <c r="S29" s="83">
        <v>49</v>
      </c>
      <c r="T29" s="83">
        <v>44</v>
      </c>
      <c r="U29" s="83">
        <v>38</v>
      </c>
      <c r="V29" s="83">
        <v>44</v>
      </c>
      <c r="W29" s="83">
        <v>47</v>
      </c>
      <c r="X29" s="83">
        <v>49</v>
      </c>
      <c r="Y29" s="180">
        <v>49</v>
      </c>
      <c r="Z29" s="83">
        <v>35</v>
      </c>
      <c r="AA29" s="83">
        <v>36</v>
      </c>
      <c r="AB29" s="83">
        <v>31</v>
      </c>
      <c r="AC29" s="83">
        <v>40</v>
      </c>
      <c r="AD29" s="83">
        <v>32</v>
      </c>
      <c r="AE29" s="83">
        <v>33</v>
      </c>
      <c r="AF29" s="83">
        <v>71</v>
      </c>
      <c r="AG29" s="83">
        <v>26</v>
      </c>
      <c r="AH29" s="83">
        <v>30</v>
      </c>
      <c r="AI29" s="6">
        <v>30</v>
      </c>
      <c r="AJ29" s="6">
        <v>28</v>
      </c>
      <c r="AK29" s="6">
        <v>28</v>
      </c>
      <c r="AL29" s="215">
        <f t="shared" si="0"/>
        <v>29.333333333333332</v>
      </c>
      <c r="AM29" s="215">
        <f t="shared" si="1"/>
        <v>37</v>
      </c>
      <c r="AN29" s="215">
        <f t="shared" si="2"/>
        <v>28.666666666666668</v>
      </c>
      <c r="AO29" s="215">
        <f t="shared" si="3"/>
        <v>28.4</v>
      </c>
    </row>
    <row r="30" spans="1:41">
      <c r="A30" s="3" t="s">
        <v>721</v>
      </c>
      <c r="B30" s="3" t="s">
        <v>722</v>
      </c>
      <c r="C30" s="3">
        <v>22</v>
      </c>
      <c r="D30" s="3" t="s">
        <v>664</v>
      </c>
      <c r="E30" s="83">
        <v>90</v>
      </c>
      <c r="F30" s="83">
        <v>78</v>
      </c>
      <c r="G30" s="83">
        <v>81</v>
      </c>
      <c r="H30" s="83">
        <v>87</v>
      </c>
      <c r="I30" s="83">
        <v>87</v>
      </c>
      <c r="J30" s="83">
        <v>81</v>
      </c>
      <c r="K30" s="83">
        <v>81</v>
      </c>
      <c r="L30" s="83">
        <v>87</v>
      </c>
      <c r="M30" s="83">
        <v>82</v>
      </c>
      <c r="N30" s="83">
        <v>81</v>
      </c>
      <c r="O30" s="83">
        <v>82</v>
      </c>
      <c r="P30" s="83">
        <v>88</v>
      </c>
      <c r="Q30" s="83">
        <v>86</v>
      </c>
      <c r="R30" s="83">
        <v>103</v>
      </c>
      <c r="S30" s="83">
        <v>54</v>
      </c>
      <c r="T30" s="83">
        <v>50</v>
      </c>
      <c r="U30" s="83">
        <v>46</v>
      </c>
      <c r="V30" s="83">
        <v>89</v>
      </c>
      <c r="W30" s="83">
        <v>71</v>
      </c>
      <c r="X30" s="83">
        <v>68</v>
      </c>
      <c r="Y30" s="180">
        <v>68</v>
      </c>
      <c r="Z30" s="83">
        <v>55</v>
      </c>
      <c r="AA30" s="83">
        <v>73</v>
      </c>
      <c r="AB30" s="83">
        <v>57</v>
      </c>
      <c r="AC30" s="83">
        <v>41</v>
      </c>
      <c r="AD30" s="83">
        <v>42</v>
      </c>
      <c r="AE30" s="83">
        <v>79</v>
      </c>
      <c r="AF30" s="83">
        <v>58</v>
      </c>
      <c r="AG30" s="83">
        <v>17</v>
      </c>
      <c r="AH30" s="83">
        <v>55</v>
      </c>
      <c r="AI30" s="6">
        <v>31</v>
      </c>
      <c r="AJ30" s="6">
        <v>23</v>
      </c>
      <c r="AK30" s="6">
        <v>72</v>
      </c>
      <c r="AL30" s="215">
        <f t="shared" si="0"/>
        <v>36.333333333333336</v>
      </c>
      <c r="AM30" s="215">
        <f t="shared" si="1"/>
        <v>36.799999999999997</v>
      </c>
      <c r="AN30" s="215">
        <f t="shared" si="2"/>
        <v>42</v>
      </c>
      <c r="AO30" s="215">
        <f t="shared" si="3"/>
        <v>39.6</v>
      </c>
    </row>
    <row r="31" spans="1:41">
      <c r="A31" s="3" t="s">
        <v>723</v>
      </c>
      <c r="B31" s="3" t="s">
        <v>724</v>
      </c>
      <c r="C31" s="3">
        <v>23</v>
      </c>
      <c r="D31" s="3" t="s">
        <v>541</v>
      </c>
      <c r="E31" s="83">
        <v>0</v>
      </c>
      <c r="F31" s="83">
        <v>0</v>
      </c>
      <c r="G31" s="83">
        <v>0</v>
      </c>
      <c r="H31" s="83">
        <v>56</v>
      </c>
      <c r="I31" s="83">
        <v>49</v>
      </c>
      <c r="J31" s="83">
        <v>0</v>
      </c>
      <c r="K31" s="83">
        <v>0</v>
      </c>
      <c r="L31" s="83">
        <v>0</v>
      </c>
      <c r="M31" s="83">
        <v>0</v>
      </c>
      <c r="N31" s="83">
        <v>0</v>
      </c>
      <c r="O31" s="83">
        <v>44</v>
      </c>
      <c r="P31" s="83">
        <v>0</v>
      </c>
      <c r="Q31" s="83">
        <v>43</v>
      </c>
      <c r="R31" s="83">
        <v>44</v>
      </c>
      <c r="S31" s="83">
        <v>93</v>
      </c>
      <c r="T31" s="83">
        <v>0</v>
      </c>
      <c r="U31" s="83">
        <v>145</v>
      </c>
      <c r="V31" s="83">
        <v>87</v>
      </c>
      <c r="W31" s="83">
        <v>0</v>
      </c>
      <c r="X31" s="83"/>
      <c r="Y31" s="180">
        <v>0</v>
      </c>
      <c r="Z31" s="83">
        <v>44</v>
      </c>
      <c r="AA31" s="83">
        <v>46</v>
      </c>
      <c r="AB31" s="83">
        <v>84</v>
      </c>
      <c r="AC31" s="83">
        <v>0</v>
      </c>
      <c r="AD31" s="83">
        <v>0</v>
      </c>
      <c r="AE31" s="83">
        <v>38</v>
      </c>
      <c r="AF31" s="83">
        <v>38</v>
      </c>
      <c r="AG31" s="83">
        <v>0</v>
      </c>
      <c r="AH31" s="83">
        <v>118</v>
      </c>
      <c r="AI31" s="6">
        <v>0</v>
      </c>
      <c r="AJ31" s="6">
        <v>0</v>
      </c>
      <c r="AK31" s="6">
        <v>0</v>
      </c>
      <c r="AL31" s="215">
        <f t="shared" si="0"/>
        <v>39.333333333333336</v>
      </c>
      <c r="AM31" s="215">
        <f t="shared" si="1"/>
        <v>31.2</v>
      </c>
      <c r="AN31" s="215">
        <f t="shared" si="2"/>
        <v>0</v>
      </c>
      <c r="AO31" s="215">
        <f t="shared" si="3"/>
        <v>23.6</v>
      </c>
    </row>
    <row r="32" spans="1:41">
      <c r="A32" s="3" t="s">
        <v>725</v>
      </c>
      <c r="B32" s="3" t="s">
        <v>726</v>
      </c>
      <c r="C32" s="3">
        <v>24</v>
      </c>
      <c r="D32" s="3" t="s">
        <v>664</v>
      </c>
      <c r="E32" s="83">
        <v>99</v>
      </c>
      <c r="F32" s="83">
        <v>118</v>
      </c>
      <c r="G32" s="83">
        <v>99</v>
      </c>
      <c r="H32" s="83">
        <v>103</v>
      </c>
      <c r="I32" s="83">
        <v>36</v>
      </c>
      <c r="J32" s="83">
        <v>36</v>
      </c>
      <c r="K32" s="83">
        <v>36</v>
      </c>
      <c r="L32" s="83">
        <v>40</v>
      </c>
      <c r="M32" s="83">
        <v>36</v>
      </c>
      <c r="N32" s="83">
        <v>68</v>
      </c>
      <c r="O32" s="83">
        <v>70</v>
      </c>
      <c r="P32" s="83">
        <v>47</v>
      </c>
      <c r="Q32" s="83">
        <v>67</v>
      </c>
      <c r="R32" s="83">
        <v>61</v>
      </c>
      <c r="S32" s="83">
        <v>52</v>
      </c>
      <c r="T32" s="83">
        <v>39</v>
      </c>
      <c r="U32" s="83">
        <v>51</v>
      </c>
      <c r="V32" s="83">
        <v>41</v>
      </c>
      <c r="W32" s="83">
        <v>58</v>
      </c>
      <c r="X32" s="83">
        <v>53</v>
      </c>
      <c r="Y32" s="180">
        <v>53</v>
      </c>
      <c r="Z32" s="83">
        <v>73</v>
      </c>
      <c r="AA32" s="83">
        <v>47</v>
      </c>
      <c r="AB32" s="83">
        <v>35</v>
      </c>
      <c r="AC32" s="83">
        <v>68</v>
      </c>
      <c r="AD32" s="83">
        <v>66</v>
      </c>
      <c r="AE32" s="83">
        <v>41</v>
      </c>
      <c r="AF32" s="83">
        <v>39</v>
      </c>
      <c r="AG32" s="83">
        <v>30</v>
      </c>
      <c r="AH32" s="83">
        <v>37</v>
      </c>
      <c r="AI32" s="6">
        <v>45</v>
      </c>
      <c r="AJ32" s="6">
        <v>17</v>
      </c>
      <c r="AK32" s="6">
        <v>39</v>
      </c>
      <c r="AL32" s="215">
        <f t="shared" si="0"/>
        <v>33</v>
      </c>
      <c r="AM32" s="215">
        <f t="shared" si="1"/>
        <v>33.6</v>
      </c>
      <c r="AN32" s="215">
        <f t="shared" si="2"/>
        <v>33.666666666666664</v>
      </c>
      <c r="AO32" s="215">
        <f t="shared" si="3"/>
        <v>33.6</v>
      </c>
    </row>
    <row r="33" spans="1:37">
      <c r="E33" s="73"/>
      <c r="F33" s="73"/>
      <c r="G33" s="73"/>
      <c r="H33" s="73"/>
      <c r="I33" s="73"/>
      <c r="J33" s="73"/>
      <c r="K33" s="73"/>
      <c r="L33" s="73"/>
      <c r="M33" s="73"/>
      <c r="N33" s="73"/>
      <c r="O33" s="73"/>
      <c r="P33" s="73"/>
      <c r="Q33" s="73"/>
      <c r="R33" s="73"/>
      <c r="S33" s="73"/>
      <c r="T33" s="73"/>
      <c r="U33" s="73"/>
      <c r="V33" s="73"/>
      <c r="W33" s="73"/>
      <c r="X33" s="73"/>
      <c r="Y33" s="180"/>
      <c r="Z33" s="73"/>
      <c r="AA33" s="73"/>
      <c r="AB33" s="73"/>
      <c r="AC33" s="73"/>
      <c r="AD33" s="73"/>
      <c r="AE33" s="73"/>
      <c r="AF33" s="73"/>
      <c r="AG33" s="73"/>
      <c r="AH33" s="73"/>
      <c r="AJ33" s="6"/>
      <c r="AK33" s="6"/>
    </row>
    <row r="34" spans="1:37">
      <c r="A34" s="3" t="s">
        <v>727</v>
      </c>
      <c r="E34" s="83">
        <v>60</v>
      </c>
      <c r="F34" s="83">
        <v>61</v>
      </c>
      <c r="G34" s="83">
        <v>59</v>
      </c>
      <c r="H34" s="83">
        <v>55</v>
      </c>
      <c r="I34" s="83">
        <v>49</v>
      </c>
      <c r="J34" s="83">
        <v>48</v>
      </c>
      <c r="K34" s="83">
        <v>52</v>
      </c>
      <c r="L34" s="83">
        <v>52</v>
      </c>
      <c r="M34" s="83">
        <v>48</v>
      </c>
      <c r="N34" s="83">
        <v>48</v>
      </c>
      <c r="O34" s="83">
        <v>46</v>
      </c>
      <c r="P34" s="83">
        <v>39</v>
      </c>
      <c r="Q34" s="83">
        <v>44</v>
      </c>
      <c r="R34" s="83">
        <v>47</v>
      </c>
      <c r="S34" s="83">
        <v>38</v>
      </c>
      <c r="T34" s="83">
        <v>38</v>
      </c>
      <c r="U34" s="83">
        <v>41</v>
      </c>
      <c r="V34" s="83">
        <v>39</v>
      </c>
      <c r="W34" s="83">
        <v>43</v>
      </c>
      <c r="X34" s="83">
        <v>46</v>
      </c>
      <c r="Y34" s="180">
        <v>46</v>
      </c>
      <c r="Z34" s="83">
        <v>44</v>
      </c>
      <c r="AA34" s="83">
        <v>40</v>
      </c>
      <c r="AB34" s="83">
        <v>39</v>
      </c>
      <c r="AC34" s="83">
        <v>48</v>
      </c>
      <c r="AD34" s="83">
        <v>44</v>
      </c>
      <c r="AE34" s="83">
        <v>40</v>
      </c>
      <c r="AF34" s="83">
        <v>55</v>
      </c>
      <c r="AG34" s="83">
        <v>44</v>
      </c>
      <c r="AH34" s="83">
        <v>40</v>
      </c>
      <c r="AI34" s="6">
        <v>35</v>
      </c>
      <c r="AJ34" s="6">
        <v>32</v>
      </c>
      <c r="AK34" s="6">
        <v>37</v>
      </c>
    </row>
    <row r="35" spans="1:37" ht="253">
      <c r="A35" s="7" t="s">
        <v>728</v>
      </c>
      <c r="B35" s="7"/>
      <c r="C35" s="7"/>
      <c r="D35" s="7"/>
      <c r="E35" s="190" t="s">
        <v>440</v>
      </c>
      <c r="F35" s="190" t="s">
        <v>440</v>
      </c>
      <c r="G35" s="190" t="s">
        <v>440</v>
      </c>
      <c r="H35" s="190" t="s">
        <v>440</v>
      </c>
      <c r="I35" s="190" t="s">
        <v>440</v>
      </c>
      <c r="J35" s="190" t="s">
        <v>440</v>
      </c>
      <c r="K35" s="190" t="s">
        <v>440</v>
      </c>
      <c r="L35" s="190" t="s">
        <v>440</v>
      </c>
      <c r="M35" s="190" t="s">
        <v>440</v>
      </c>
      <c r="N35" s="190" t="s">
        <v>440</v>
      </c>
      <c r="O35" s="190" t="s">
        <v>440</v>
      </c>
      <c r="P35" s="190" t="s">
        <v>440</v>
      </c>
      <c r="Q35" s="190" t="s">
        <v>440</v>
      </c>
      <c r="R35" s="190" t="s">
        <v>440</v>
      </c>
      <c r="S35" s="190" t="s">
        <v>440</v>
      </c>
      <c r="T35" s="190" t="s">
        <v>440</v>
      </c>
      <c r="U35" s="190" t="s">
        <v>440</v>
      </c>
      <c r="V35" s="190" t="s">
        <v>440</v>
      </c>
      <c r="W35" s="190" t="s">
        <v>440</v>
      </c>
      <c r="X35" s="190" t="s">
        <v>440</v>
      </c>
      <c r="Y35" s="191" t="s">
        <v>2533</v>
      </c>
      <c r="Z35" s="190" t="s">
        <v>2533</v>
      </c>
      <c r="AA35" s="190" t="s">
        <v>2533</v>
      </c>
      <c r="AB35" s="190" t="s">
        <v>2533</v>
      </c>
      <c r="AC35" s="190" t="s">
        <v>2533</v>
      </c>
      <c r="AD35" s="190" t="s">
        <v>2533</v>
      </c>
      <c r="AE35" s="190" t="s">
        <v>2533</v>
      </c>
      <c r="AF35" s="190" t="s">
        <v>2533</v>
      </c>
      <c r="AG35" s="190" t="s">
        <v>2533</v>
      </c>
      <c r="AH35" s="190" t="s">
        <v>2533</v>
      </c>
      <c r="AI35" s="190" t="s">
        <v>2533</v>
      </c>
      <c r="AJ35" s="190" t="s">
        <v>2853</v>
      </c>
      <c r="AK35" s="7" t="s">
        <v>3354</v>
      </c>
    </row>
    <row r="36" spans="1:37" ht="209">
      <c r="A36" s="7"/>
      <c r="B36" s="7"/>
      <c r="C36" s="7"/>
      <c r="D36" s="7"/>
      <c r="E36" s="1"/>
      <c r="F36" s="1"/>
      <c r="G36" s="1"/>
      <c r="H36" s="1"/>
      <c r="I36" s="1"/>
      <c r="J36" s="1"/>
      <c r="K36" s="1"/>
      <c r="L36" s="1"/>
      <c r="M36" s="1"/>
      <c r="N36" s="1"/>
      <c r="O36" s="1"/>
      <c r="P36" s="1"/>
      <c r="Q36" s="1"/>
      <c r="R36" s="1"/>
      <c r="S36" s="1"/>
      <c r="T36" s="1"/>
      <c r="U36" s="1"/>
      <c r="V36" s="1"/>
      <c r="W36" s="1"/>
      <c r="X36" s="1"/>
      <c r="Y36" s="181"/>
      <c r="Z36" s="1"/>
      <c r="AA36" s="1"/>
      <c r="AB36" s="1"/>
      <c r="AC36" s="1"/>
      <c r="AD36" s="1"/>
      <c r="AE36" s="1"/>
      <c r="AF36" s="1"/>
      <c r="AG36" s="1"/>
      <c r="AH36" s="1" t="s">
        <v>2855</v>
      </c>
      <c r="AI36" s="1"/>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7" sqref="A7"/>
    </sheetView>
  </sheetViews>
  <sheetFormatPr baseColWidth="10" defaultRowHeight="13" x14ac:dyDescent="0"/>
  <cols>
    <col min="1" max="1" width="15.140625" style="3" customWidth="1"/>
    <col min="2" max="3" width="5.7109375" style="3" customWidth="1"/>
    <col min="4" max="4" width="10.7109375" style="3"/>
    <col min="5" max="7" width="10.7109375" style="6"/>
    <col min="8" max="8" width="10.7109375" style="73"/>
    <col min="9" max="10" width="10.7109375" style="6"/>
  </cols>
  <sheetData>
    <row r="1" spans="1:10">
      <c r="A1" s="184" t="s">
        <v>2404</v>
      </c>
    </row>
    <row r="2" spans="1:10">
      <c r="A2" s="1" t="s">
        <v>614</v>
      </c>
      <c r="B2" s="1"/>
      <c r="C2" s="1"/>
      <c r="D2" s="1"/>
      <c r="E2" s="20" t="s">
        <v>853</v>
      </c>
      <c r="F2" s="20" t="s">
        <v>853</v>
      </c>
      <c r="G2" s="20" t="s">
        <v>853</v>
      </c>
      <c r="H2" s="20" t="s">
        <v>853</v>
      </c>
      <c r="I2" s="20" t="s">
        <v>853</v>
      </c>
      <c r="J2" s="20" t="s">
        <v>853</v>
      </c>
    </row>
    <row r="3" spans="1:10">
      <c r="A3" s="1" t="s">
        <v>518</v>
      </c>
      <c r="B3" s="1"/>
      <c r="C3" s="1"/>
      <c r="D3" s="1"/>
      <c r="E3" s="20" t="s">
        <v>493</v>
      </c>
      <c r="F3" s="20" t="s">
        <v>493</v>
      </c>
      <c r="G3" s="20" t="s">
        <v>550</v>
      </c>
      <c r="H3" s="20" t="s">
        <v>466</v>
      </c>
      <c r="I3" s="20" t="s">
        <v>466</v>
      </c>
      <c r="J3" s="20" t="s">
        <v>777</v>
      </c>
    </row>
    <row r="4" spans="1:10">
      <c r="A4" s="1" t="s">
        <v>736</v>
      </c>
      <c r="B4" s="1"/>
      <c r="C4" s="1"/>
      <c r="D4" s="1"/>
      <c r="E4" s="20" t="s">
        <v>555</v>
      </c>
      <c r="F4" s="20" t="s">
        <v>555</v>
      </c>
      <c r="G4" s="20" t="s">
        <v>555</v>
      </c>
      <c r="H4" s="20" t="s">
        <v>555</v>
      </c>
      <c r="I4" s="20" t="s">
        <v>555</v>
      </c>
      <c r="J4" s="20" t="s">
        <v>555</v>
      </c>
    </row>
    <row r="5" spans="1:10">
      <c r="A5" s="1" t="s">
        <v>737</v>
      </c>
      <c r="B5" s="1"/>
      <c r="C5" s="1"/>
      <c r="D5" s="1"/>
      <c r="E5" s="20" t="s">
        <v>556</v>
      </c>
      <c r="F5" s="20" t="s">
        <v>556</v>
      </c>
      <c r="G5" s="20" t="s">
        <v>556</v>
      </c>
      <c r="H5" s="20" t="s">
        <v>512</v>
      </c>
      <c r="I5" s="20" t="s">
        <v>513</v>
      </c>
      <c r="J5" s="20" t="s">
        <v>463</v>
      </c>
    </row>
    <row r="6" spans="1:10">
      <c r="A6" s="42" t="s">
        <v>560</v>
      </c>
      <c r="B6" s="42"/>
      <c r="C6" s="42"/>
      <c r="D6" s="42"/>
      <c r="E6" s="42">
        <v>1994</v>
      </c>
      <c r="F6" s="42">
        <v>1996</v>
      </c>
      <c r="G6" s="42">
        <v>1994</v>
      </c>
      <c r="H6" s="42">
        <v>1996</v>
      </c>
      <c r="I6" s="42">
        <v>1996</v>
      </c>
      <c r="J6" s="42">
        <v>1996</v>
      </c>
    </row>
    <row r="7" spans="1:10" ht="77">
      <c r="A7" s="7" t="s">
        <v>3334</v>
      </c>
      <c r="B7" s="1"/>
      <c r="C7" s="1"/>
      <c r="D7" s="1"/>
      <c r="E7" s="20" t="s">
        <v>730</v>
      </c>
      <c r="F7" s="20" t="s">
        <v>731</v>
      </c>
      <c r="G7" s="20" t="s">
        <v>729</v>
      </c>
      <c r="H7" s="20" t="s">
        <v>887</v>
      </c>
      <c r="I7" s="20" t="s">
        <v>900</v>
      </c>
      <c r="J7" s="20" t="s">
        <v>814</v>
      </c>
    </row>
    <row r="8" spans="1:10">
      <c r="A8" s="9" t="s">
        <v>572</v>
      </c>
      <c r="B8" s="9" t="s">
        <v>770</v>
      </c>
      <c r="C8" s="9" t="s">
        <v>771</v>
      </c>
      <c r="D8" s="9" t="s">
        <v>772</v>
      </c>
      <c r="E8" s="23" t="s">
        <v>815</v>
      </c>
      <c r="F8" s="23" t="s">
        <v>808</v>
      </c>
      <c r="G8" s="23" t="s">
        <v>775</v>
      </c>
      <c r="H8" s="23" t="s">
        <v>809</v>
      </c>
      <c r="I8" s="23" t="s">
        <v>888</v>
      </c>
      <c r="J8" s="23" t="s">
        <v>889</v>
      </c>
    </row>
    <row r="9" spans="1:10">
      <c r="A9" s="3" t="s">
        <v>850</v>
      </c>
      <c r="B9" s="3" t="s">
        <v>851</v>
      </c>
      <c r="C9" s="3">
        <v>1</v>
      </c>
      <c r="D9" s="3" t="s">
        <v>759</v>
      </c>
      <c r="E9" s="72">
        <v>7.5</v>
      </c>
      <c r="F9" s="72">
        <v>8.1999999999999993</v>
      </c>
      <c r="G9" s="72">
        <v>14</v>
      </c>
      <c r="H9" s="72">
        <v>30</v>
      </c>
      <c r="I9" s="72">
        <v>73.7</v>
      </c>
      <c r="J9" s="72">
        <v>7.9</v>
      </c>
    </row>
    <row r="10" spans="1:10">
      <c r="A10" s="3" t="s">
        <v>667</v>
      </c>
      <c r="B10" s="3" t="s">
        <v>668</v>
      </c>
      <c r="C10" s="3">
        <v>2</v>
      </c>
      <c r="D10" s="3" t="s">
        <v>759</v>
      </c>
      <c r="E10" s="72">
        <v>4.2</v>
      </c>
      <c r="F10" s="72">
        <v>4.7</v>
      </c>
      <c r="G10" s="72">
        <v>9.5</v>
      </c>
      <c r="H10" s="72">
        <v>16</v>
      </c>
      <c r="I10" s="72">
        <v>74.400000000000006</v>
      </c>
      <c r="J10" s="72">
        <v>11.4</v>
      </c>
    </row>
    <row r="11" spans="1:10">
      <c r="A11" s="3" t="s">
        <v>669</v>
      </c>
      <c r="B11" s="3" t="s">
        <v>663</v>
      </c>
      <c r="C11" s="3">
        <v>3</v>
      </c>
      <c r="D11" s="3" t="s">
        <v>664</v>
      </c>
      <c r="E11" s="72">
        <v>8.9</v>
      </c>
      <c r="F11" s="72">
        <v>12.2</v>
      </c>
      <c r="G11" s="72">
        <v>19.600000000000001</v>
      </c>
      <c r="H11" s="72">
        <v>32</v>
      </c>
      <c r="I11" s="72">
        <v>72</v>
      </c>
      <c r="J11" s="72">
        <v>5.8</v>
      </c>
    </row>
    <row r="12" spans="1:10">
      <c r="A12" s="3" t="s">
        <v>665</v>
      </c>
      <c r="B12" s="3" t="s">
        <v>640</v>
      </c>
      <c r="C12" s="3">
        <v>4</v>
      </c>
      <c r="D12" s="3" t="s">
        <v>641</v>
      </c>
      <c r="E12" s="72">
        <v>12.7</v>
      </c>
      <c r="F12" s="72">
        <v>15.9</v>
      </c>
      <c r="G12" s="72">
        <v>18.7</v>
      </c>
      <c r="H12" s="72">
        <v>68</v>
      </c>
      <c r="I12" s="72">
        <v>70.2</v>
      </c>
      <c r="J12" s="72">
        <v>6.7</v>
      </c>
    </row>
    <row r="13" spans="1:10">
      <c r="A13" s="3" t="s">
        <v>539</v>
      </c>
      <c r="B13" s="3" t="s">
        <v>540</v>
      </c>
      <c r="C13" s="3">
        <v>5</v>
      </c>
      <c r="D13" s="3" t="s">
        <v>541</v>
      </c>
      <c r="E13" s="72">
        <v>7</v>
      </c>
      <c r="F13" s="72">
        <v>6.8</v>
      </c>
      <c r="G13" s="72">
        <v>10.5</v>
      </c>
      <c r="H13" s="72">
        <v>52</v>
      </c>
      <c r="I13" s="72">
        <v>70.900000000000006</v>
      </c>
      <c r="J13" s="72">
        <v>5.3</v>
      </c>
    </row>
    <row r="14" spans="1:10">
      <c r="A14" s="3" t="s">
        <v>542</v>
      </c>
      <c r="B14" s="3" t="s">
        <v>543</v>
      </c>
      <c r="C14" s="3">
        <v>6</v>
      </c>
      <c r="D14" s="3" t="s">
        <v>759</v>
      </c>
      <c r="E14" s="72">
        <v>6.1</v>
      </c>
      <c r="F14" s="72">
        <v>6.3</v>
      </c>
      <c r="G14" s="72">
        <v>13.8</v>
      </c>
      <c r="H14" s="72">
        <v>16</v>
      </c>
      <c r="I14" s="72">
        <v>74.599999999999994</v>
      </c>
      <c r="J14" s="72">
        <v>7.9</v>
      </c>
    </row>
    <row r="15" spans="1:10">
      <c r="A15" s="3" t="s">
        <v>628</v>
      </c>
      <c r="B15" s="3" t="s">
        <v>629</v>
      </c>
      <c r="C15" s="3">
        <v>7</v>
      </c>
      <c r="D15" s="3" t="s">
        <v>641</v>
      </c>
      <c r="E15" s="72">
        <v>9.8000000000000007</v>
      </c>
      <c r="F15" s="72">
        <v>10.9</v>
      </c>
      <c r="G15" s="72">
        <v>16</v>
      </c>
      <c r="H15" s="72">
        <v>61</v>
      </c>
      <c r="I15" s="72">
        <v>71.7</v>
      </c>
      <c r="J15" s="72">
        <v>6.6</v>
      </c>
    </row>
    <row r="16" spans="1:10">
      <c r="A16" s="3" t="s">
        <v>630</v>
      </c>
      <c r="B16" s="3" t="s">
        <v>631</v>
      </c>
      <c r="C16" s="3">
        <v>8</v>
      </c>
      <c r="D16" s="3" t="s">
        <v>759</v>
      </c>
      <c r="E16" s="72">
        <v>5.6</v>
      </c>
      <c r="F16" s="72">
        <v>4.9000000000000004</v>
      </c>
      <c r="G16" s="72">
        <v>14.6</v>
      </c>
      <c r="H16" s="72">
        <v>32</v>
      </c>
      <c r="I16" s="72">
        <v>72.8</v>
      </c>
      <c r="J16" s="72">
        <v>7.7</v>
      </c>
    </row>
    <row r="17" spans="1:10">
      <c r="A17" s="3" t="s">
        <v>632</v>
      </c>
      <c r="B17" s="3" t="s">
        <v>633</v>
      </c>
      <c r="C17" s="3">
        <v>9</v>
      </c>
      <c r="D17" s="3" t="s">
        <v>641</v>
      </c>
      <c r="E17" s="72">
        <v>13.6</v>
      </c>
      <c r="F17" s="72">
        <v>12.3</v>
      </c>
      <c r="G17" s="72">
        <v>17.100000000000001</v>
      </c>
      <c r="H17" s="72">
        <v>150</v>
      </c>
      <c r="I17" s="72">
        <v>69.400000000000006</v>
      </c>
      <c r="J17" s="72">
        <v>5.8</v>
      </c>
    </row>
    <row r="18" spans="1:10">
      <c r="A18" s="3" t="s">
        <v>634</v>
      </c>
      <c r="B18" s="3" t="s">
        <v>715</v>
      </c>
      <c r="C18" s="3">
        <v>10</v>
      </c>
      <c r="D18" s="3" t="s">
        <v>664</v>
      </c>
      <c r="E18" s="72">
        <v>10.3</v>
      </c>
      <c r="F18" s="72">
        <v>11.1</v>
      </c>
      <c r="G18" s="72">
        <v>14.9</v>
      </c>
      <c r="H18" s="72">
        <v>77</v>
      </c>
      <c r="I18" s="72">
        <v>70.5</v>
      </c>
      <c r="J18" s="72">
        <v>5.8</v>
      </c>
    </row>
    <row r="19" spans="1:10">
      <c r="A19" s="3" t="s">
        <v>716</v>
      </c>
      <c r="B19" s="3" t="s">
        <v>717</v>
      </c>
      <c r="C19" s="3">
        <v>11</v>
      </c>
      <c r="D19" s="3" t="s">
        <v>541</v>
      </c>
      <c r="E19" s="72">
        <v>4.2</v>
      </c>
      <c r="F19" s="72">
        <v>4</v>
      </c>
      <c r="G19" s="72">
        <v>10.7</v>
      </c>
      <c r="H19" s="72">
        <v>37</v>
      </c>
      <c r="I19" s="72">
        <v>74.8</v>
      </c>
      <c r="J19" s="72">
        <v>7</v>
      </c>
    </row>
    <row r="20" spans="1:10">
      <c r="A20" s="3" t="s">
        <v>718</v>
      </c>
      <c r="B20" s="3" t="s">
        <v>719</v>
      </c>
      <c r="C20" s="3">
        <v>12</v>
      </c>
      <c r="D20" s="3" t="s">
        <v>664</v>
      </c>
      <c r="E20" s="72">
        <v>7.2</v>
      </c>
      <c r="F20" s="72">
        <v>8.5</v>
      </c>
      <c r="G20" s="72">
        <v>15.6</v>
      </c>
      <c r="H20" s="72">
        <v>16</v>
      </c>
      <c r="I20" s="72">
        <v>72.5</v>
      </c>
      <c r="J20" s="72">
        <v>6.4</v>
      </c>
    </row>
    <row r="21" spans="1:10">
      <c r="A21" s="3" t="s">
        <v>711</v>
      </c>
      <c r="B21" s="3" t="s">
        <v>712</v>
      </c>
      <c r="C21" s="3">
        <v>13</v>
      </c>
      <c r="D21" s="3" t="s">
        <v>713</v>
      </c>
      <c r="E21" s="72">
        <v>6</v>
      </c>
      <c r="F21" s="72">
        <v>6.2</v>
      </c>
      <c r="G21" s="72">
        <v>12.8</v>
      </c>
      <c r="H21" s="72">
        <v>36</v>
      </c>
      <c r="I21" s="72">
        <v>74.599999999999994</v>
      </c>
      <c r="J21" s="72">
        <v>6.6</v>
      </c>
    </row>
    <row r="22" spans="1:10">
      <c r="A22" s="3" t="s">
        <v>714</v>
      </c>
      <c r="B22" s="3" t="s">
        <v>530</v>
      </c>
      <c r="C22" s="3">
        <v>14</v>
      </c>
      <c r="D22" s="3" t="s">
        <v>641</v>
      </c>
      <c r="E22" s="72">
        <v>9.4</v>
      </c>
      <c r="F22" s="72">
        <v>10</v>
      </c>
      <c r="G22" s="72">
        <v>13.8</v>
      </c>
      <c r="H22" s="72">
        <v>35</v>
      </c>
      <c r="I22" s="72">
        <v>71.7</v>
      </c>
      <c r="J22" s="72">
        <v>5.6</v>
      </c>
    </row>
    <row r="23" spans="1:10">
      <c r="A23" s="3" t="s">
        <v>620</v>
      </c>
      <c r="B23" s="3" t="s">
        <v>621</v>
      </c>
      <c r="C23" s="3">
        <v>15</v>
      </c>
      <c r="D23" s="3" t="s">
        <v>541</v>
      </c>
      <c r="E23" s="72">
        <v>5.6</v>
      </c>
      <c r="F23" s="72">
        <v>6.7</v>
      </c>
      <c r="G23" s="72">
        <v>9.6999999999999993</v>
      </c>
      <c r="H23" s="72">
        <v>18</v>
      </c>
      <c r="I23" s="72">
        <v>72.5</v>
      </c>
      <c r="J23" s="72">
        <v>3.8</v>
      </c>
    </row>
    <row r="24" spans="1:10">
      <c r="A24" s="3" t="s">
        <v>622</v>
      </c>
      <c r="B24" s="3" t="s">
        <v>925</v>
      </c>
      <c r="C24" s="3">
        <v>16</v>
      </c>
      <c r="D24" s="3" t="s">
        <v>541</v>
      </c>
      <c r="E24" s="72">
        <v>6</v>
      </c>
      <c r="F24" s="72">
        <v>4.7</v>
      </c>
      <c r="G24" s="72">
        <v>12.6</v>
      </c>
      <c r="H24" s="72">
        <v>42</v>
      </c>
      <c r="I24" s="72">
        <v>73.400000000000006</v>
      </c>
      <c r="J24" s="72">
        <v>4.7</v>
      </c>
    </row>
    <row r="25" spans="1:10">
      <c r="A25" s="3" t="s">
        <v>926</v>
      </c>
      <c r="B25" s="3" t="s">
        <v>927</v>
      </c>
      <c r="C25" s="3">
        <v>17</v>
      </c>
      <c r="D25" s="3" t="s">
        <v>664</v>
      </c>
      <c r="E25" s="72">
        <v>14.1</v>
      </c>
      <c r="F25" s="72">
        <v>12</v>
      </c>
      <c r="G25" s="72">
        <v>14.9</v>
      </c>
      <c r="H25" s="72">
        <v>45</v>
      </c>
      <c r="I25" s="72">
        <v>71.599999999999994</v>
      </c>
      <c r="J25" s="72">
        <v>5.5</v>
      </c>
    </row>
    <row r="26" spans="1:10">
      <c r="A26" s="3" t="s">
        <v>928</v>
      </c>
      <c r="B26" s="3" t="s">
        <v>929</v>
      </c>
      <c r="C26" s="3">
        <v>18</v>
      </c>
      <c r="D26" s="3" t="s">
        <v>713</v>
      </c>
      <c r="E26" s="72">
        <v>7.4</v>
      </c>
      <c r="F26" s="72">
        <v>7.2</v>
      </c>
      <c r="G26" s="72">
        <v>13.9</v>
      </c>
      <c r="H26" s="72">
        <v>21</v>
      </c>
      <c r="I26" s="72">
        <v>72</v>
      </c>
      <c r="J26" s="72">
        <v>6.9</v>
      </c>
    </row>
    <row r="27" spans="1:10">
      <c r="A27" s="3" t="s">
        <v>841</v>
      </c>
      <c r="B27" s="3" t="s">
        <v>659</v>
      </c>
      <c r="C27" s="3">
        <v>19</v>
      </c>
      <c r="D27" s="3" t="s">
        <v>713</v>
      </c>
      <c r="E27" s="72">
        <v>8.5</v>
      </c>
      <c r="F27" s="72">
        <v>5.5</v>
      </c>
      <c r="G27" s="72">
        <v>18.899999999999999</v>
      </c>
      <c r="H27" s="72">
        <v>26</v>
      </c>
      <c r="I27" s="72">
        <v>72.8</v>
      </c>
      <c r="J27" s="72">
        <v>6.5</v>
      </c>
    </row>
    <row r="28" spans="1:10">
      <c r="A28" s="3" t="s">
        <v>660</v>
      </c>
      <c r="B28" s="3" t="s">
        <v>661</v>
      </c>
      <c r="C28" s="3">
        <v>20</v>
      </c>
      <c r="D28" s="3" t="s">
        <v>541</v>
      </c>
      <c r="E28" s="72">
        <v>6.2</v>
      </c>
      <c r="F28" s="72">
        <v>4.5</v>
      </c>
      <c r="G28" s="72">
        <v>9.6999999999999993</v>
      </c>
      <c r="H28" s="72">
        <v>34</v>
      </c>
      <c r="I28" s="72">
        <v>72</v>
      </c>
      <c r="J28" s="72">
        <v>5</v>
      </c>
    </row>
    <row r="29" spans="1:10">
      <c r="A29" s="3" t="s">
        <v>80</v>
      </c>
      <c r="B29" s="3" t="s">
        <v>747</v>
      </c>
      <c r="C29" s="3">
        <v>21</v>
      </c>
      <c r="D29" s="3" t="s">
        <v>759</v>
      </c>
      <c r="E29" s="72">
        <v>5.8</v>
      </c>
      <c r="F29" s="72">
        <v>5.5</v>
      </c>
      <c r="G29" s="72">
        <v>11.3</v>
      </c>
      <c r="H29" s="72">
        <v>30</v>
      </c>
      <c r="I29" s="72">
        <v>74.7</v>
      </c>
      <c r="J29" s="72">
        <v>8.1999999999999993</v>
      </c>
    </row>
    <row r="30" spans="1:10">
      <c r="A30" s="3" t="s">
        <v>721</v>
      </c>
      <c r="B30" s="3" t="s">
        <v>722</v>
      </c>
      <c r="C30" s="3">
        <v>22</v>
      </c>
      <c r="D30" s="3" t="s">
        <v>664</v>
      </c>
      <c r="E30" s="72">
        <v>11.3</v>
      </c>
      <c r="F30" s="72">
        <v>7.3</v>
      </c>
      <c r="G30" s="72">
        <v>15.6</v>
      </c>
      <c r="H30" s="72">
        <v>31</v>
      </c>
      <c r="I30" s="72">
        <v>72.900000000000006</v>
      </c>
      <c r="J30" s="72">
        <v>5.9</v>
      </c>
    </row>
    <row r="31" spans="1:10">
      <c r="A31" s="3" t="s">
        <v>723</v>
      </c>
      <c r="B31" s="3" t="s">
        <v>724</v>
      </c>
      <c r="C31" s="3">
        <v>23</v>
      </c>
      <c r="D31" s="3" t="s">
        <v>541</v>
      </c>
      <c r="E31" s="72">
        <v>4.8</v>
      </c>
      <c r="F31" s="72">
        <v>2.2000000000000002</v>
      </c>
      <c r="G31" s="72">
        <v>8.4</v>
      </c>
      <c r="H31" s="72"/>
      <c r="I31" s="72">
        <v>73.099999999999994</v>
      </c>
      <c r="J31" s="72">
        <v>2.5</v>
      </c>
    </row>
    <row r="32" spans="1:10">
      <c r="A32" s="3" t="s">
        <v>725</v>
      </c>
      <c r="B32" s="3" t="s">
        <v>726</v>
      </c>
      <c r="C32" s="3">
        <v>24</v>
      </c>
      <c r="D32" s="3" t="s">
        <v>664</v>
      </c>
      <c r="E32" s="72">
        <v>6.8</v>
      </c>
      <c r="F32" s="72">
        <v>8.4</v>
      </c>
      <c r="G32" s="72">
        <v>16.899999999999999</v>
      </c>
      <c r="H32" s="72">
        <v>45</v>
      </c>
      <c r="I32" s="72">
        <v>73.400000000000006</v>
      </c>
      <c r="J32" s="72">
        <v>6</v>
      </c>
    </row>
    <row r="33" spans="1:10">
      <c r="E33" s="72"/>
      <c r="F33" s="11"/>
      <c r="G33" s="72"/>
      <c r="H33" s="72"/>
      <c r="I33" s="11"/>
      <c r="J33" s="11"/>
    </row>
    <row r="34" spans="1:10">
      <c r="A34" s="3" t="s">
        <v>727</v>
      </c>
      <c r="E34" s="72">
        <v>7.6</v>
      </c>
      <c r="F34" s="11"/>
      <c r="G34" s="72">
        <v>13.9</v>
      </c>
      <c r="H34" s="72">
        <v>35</v>
      </c>
      <c r="I34" s="11"/>
      <c r="J34" s="11"/>
    </row>
    <row r="35" spans="1:10" ht="154">
      <c r="A35" s="7" t="s">
        <v>728</v>
      </c>
      <c r="B35" s="7"/>
      <c r="C35" s="7"/>
      <c r="D35" s="7"/>
      <c r="E35" s="1" t="s">
        <v>776</v>
      </c>
      <c r="F35" s="1" t="s">
        <v>609</v>
      </c>
      <c r="G35" s="1" t="s">
        <v>776</v>
      </c>
      <c r="H35" s="1" t="s">
        <v>609</v>
      </c>
      <c r="I35" s="1" t="s">
        <v>609</v>
      </c>
      <c r="J35" s="1" t="s">
        <v>609</v>
      </c>
    </row>
    <row r="36" spans="1:10">
      <c r="A36" s="7"/>
      <c r="B36" s="7"/>
      <c r="C36" s="7"/>
      <c r="D36" s="7"/>
      <c r="E36" s="1"/>
      <c r="F36" s="1"/>
      <c r="G36" s="1"/>
      <c r="H36" s="20"/>
      <c r="I36" s="1"/>
      <c r="J36" s="1"/>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36"/>
  <sheetViews>
    <sheetView topLeftCell="A6" workbookViewId="0">
      <pane xSplit="10240" topLeftCell="JK1" activePane="topRight"/>
      <selection activeCell="A9" sqref="A9:A32"/>
      <selection pane="topRight" activeCell="CC9" sqref="CC9:CC32"/>
    </sheetView>
  </sheetViews>
  <sheetFormatPr baseColWidth="10" defaultRowHeight="13" x14ac:dyDescent="0"/>
  <cols>
    <col min="1" max="1" width="15.140625" style="3" customWidth="1"/>
    <col min="2" max="3" width="5.7109375" style="3" customWidth="1"/>
    <col min="4" max="4" width="10.7109375" style="3"/>
    <col min="5" max="136" width="10.7109375" style="6"/>
    <col min="137" max="139" width="10.7109375" style="73"/>
    <col min="140" max="140" width="10.7109375" style="83"/>
    <col min="141" max="144" width="10.7109375" style="6"/>
  </cols>
  <sheetData>
    <row r="1" spans="1:276" ht="14" customHeight="1">
      <c r="A1" s="137" t="s">
        <v>2404</v>
      </c>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s="6"/>
      <c r="EH1" s="6"/>
      <c r="EI1" s="6"/>
      <c r="EJ1" s="6"/>
    </row>
    <row r="2" spans="1:276" s="20" customFormat="1" ht="14" customHeight="1">
      <c r="A2" s="20" t="s">
        <v>614</v>
      </c>
      <c r="E2" s="20" t="s">
        <v>590</v>
      </c>
      <c r="F2" s="20" t="s">
        <v>590</v>
      </c>
      <c r="G2" s="20" t="s">
        <v>590</v>
      </c>
      <c r="H2" s="20" t="s">
        <v>590</v>
      </c>
      <c r="I2" s="20" t="s">
        <v>590</v>
      </c>
      <c r="J2" s="20" t="s">
        <v>590</v>
      </c>
      <c r="K2" s="20" t="s">
        <v>590</v>
      </c>
      <c r="L2" s="20" t="s">
        <v>590</v>
      </c>
      <c r="M2" s="20" t="s">
        <v>590</v>
      </c>
      <c r="N2" s="20" t="s">
        <v>590</v>
      </c>
      <c r="O2" s="20" t="s">
        <v>590</v>
      </c>
      <c r="P2" s="20" t="s">
        <v>590</v>
      </c>
      <c r="Q2" s="20" t="s">
        <v>590</v>
      </c>
      <c r="R2" s="20" t="s">
        <v>590</v>
      </c>
      <c r="S2" s="20" t="s">
        <v>590</v>
      </c>
      <c r="T2" s="20" t="s">
        <v>590</v>
      </c>
      <c r="U2" s="20" t="s">
        <v>590</v>
      </c>
      <c r="V2" s="20" t="s">
        <v>590</v>
      </c>
      <c r="W2" s="20" t="s">
        <v>590</v>
      </c>
      <c r="X2" s="20" t="s">
        <v>590</v>
      </c>
      <c r="Y2" s="20" t="s">
        <v>590</v>
      </c>
      <c r="Z2" s="20" t="s">
        <v>590</v>
      </c>
      <c r="AA2" s="20" t="s">
        <v>590</v>
      </c>
      <c r="AB2" s="20" t="s">
        <v>590</v>
      </c>
      <c r="AC2" s="20" t="s">
        <v>590</v>
      </c>
      <c r="AD2" s="20" t="s">
        <v>590</v>
      </c>
      <c r="AE2" s="20" t="s">
        <v>590</v>
      </c>
      <c r="AF2" s="20" t="s">
        <v>590</v>
      </c>
      <c r="AG2" s="20" t="s">
        <v>590</v>
      </c>
      <c r="AH2" s="20" t="s">
        <v>590</v>
      </c>
      <c r="AI2" s="20" t="s">
        <v>590</v>
      </c>
      <c r="AJ2" s="20" t="s">
        <v>590</v>
      </c>
      <c r="AK2" s="20" t="s">
        <v>590</v>
      </c>
      <c r="AL2" s="20" t="s">
        <v>590</v>
      </c>
      <c r="AM2" s="20" t="s">
        <v>590</v>
      </c>
      <c r="AN2" s="20" t="s">
        <v>590</v>
      </c>
      <c r="AO2" s="20" t="s">
        <v>590</v>
      </c>
      <c r="AP2" s="20" t="s">
        <v>590</v>
      </c>
      <c r="AQ2" s="20" t="s">
        <v>590</v>
      </c>
      <c r="AR2" s="20" t="s">
        <v>590</v>
      </c>
      <c r="AS2" s="20" t="s">
        <v>590</v>
      </c>
      <c r="AT2" s="20" t="s">
        <v>590</v>
      </c>
      <c r="AU2" s="20" t="s">
        <v>590</v>
      </c>
      <c r="AV2" s="20" t="s">
        <v>590</v>
      </c>
      <c r="AW2" s="20" t="s">
        <v>590</v>
      </c>
      <c r="AX2" s="20" t="s">
        <v>590</v>
      </c>
      <c r="AY2" s="20" t="s">
        <v>590</v>
      </c>
      <c r="AZ2" s="20" t="s">
        <v>590</v>
      </c>
      <c r="BA2" s="20" t="s">
        <v>590</v>
      </c>
      <c r="BB2" s="20" t="s">
        <v>590</v>
      </c>
      <c r="BC2" s="20" t="s">
        <v>590</v>
      </c>
      <c r="BD2" s="20" t="s">
        <v>590</v>
      </c>
      <c r="BE2" s="20" t="s">
        <v>590</v>
      </c>
      <c r="BF2" s="20" t="s">
        <v>590</v>
      </c>
      <c r="BG2" s="20" t="s">
        <v>590</v>
      </c>
      <c r="BH2" s="20" t="s">
        <v>590</v>
      </c>
      <c r="BI2" s="20" t="s">
        <v>590</v>
      </c>
      <c r="BJ2" s="20" t="s">
        <v>590</v>
      </c>
      <c r="BK2" s="20" t="s">
        <v>590</v>
      </c>
      <c r="BL2" s="20" t="s">
        <v>590</v>
      </c>
      <c r="BM2" s="20" t="s">
        <v>590</v>
      </c>
      <c r="BN2" s="20" t="s">
        <v>590</v>
      </c>
      <c r="BO2" s="20" t="s">
        <v>590</v>
      </c>
      <c r="BP2" s="20" t="s">
        <v>590</v>
      </c>
      <c r="BQ2" s="20" t="s">
        <v>590</v>
      </c>
      <c r="BR2" s="20" t="s">
        <v>590</v>
      </c>
      <c r="BS2" s="20" t="s">
        <v>590</v>
      </c>
      <c r="BT2" s="20" t="s">
        <v>590</v>
      </c>
      <c r="BU2" s="20" t="s">
        <v>590</v>
      </c>
      <c r="BV2" s="20" t="s">
        <v>590</v>
      </c>
      <c r="BW2" s="20" t="s">
        <v>590</v>
      </c>
      <c r="BX2" s="20" t="s">
        <v>590</v>
      </c>
      <c r="BY2" s="20" t="s">
        <v>590</v>
      </c>
      <c r="BZ2" s="20" t="s">
        <v>590</v>
      </c>
      <c r="CA2" s="20" t="s">
        <v>590</v>
      </c>
      <c r="CB2" s="20" t="s">
        <v>590</v>
      </c>
      <c r="CC2" s="20" t="s">
        <v>590</v>
      </c>
      <c r="CD2" s="20" t="s">
        <v>590</v>
      </c>
      <c r="CE2" s="20" t="s">
        <v>590</v>
      </c>
      <c r="CF2" s="20" t="s">
        <v>590</v>
      </c>
      <c r="CG2" s="20" t="s">
        <v>590</v>
      </c>
      <c r="CH2" s="20" t="s">
        <v>590</v>
      </c>
      <c r="CI2" s="20" t="s">
        <v>590</v>
      </c>
      <c r="CJ2" s="20" t="s">
        <v>590</v>
      </c>
      <c r="CK2" s="20" t="s">
        <v>590</v>
      </c>
      <c r="CL2" s="20" t="s">
        <v>590</v>
      </c>
      <c r="CM2" s="20" t="s">
        <v>590</v>
      </c>
      <c r="CN2" s="20" t="s">
        <v>590</v>
      </c>
      <c r="CO2" s="20" t="s">
        <v>590</v>
      </c>
      <c r="CP2" s="20" t="s">
        <v>590</v>
      </c>
      <c r="CQ2" s="20" t="s">
        <v>590</v>
      </c>
      <c r="CR2" s="20" t="s">
        <v>590</v>
      </c>
      <c r="CS2" s="20" t="s">
        <v>590</v>
      </c>
      <c r="CT2" s="20" t="s">
        <v>590</v>
      </c>
      <c r="CU2" s="20" t="s">
        <v>590</v>
      </c>
      <c r="CV2" s="20" t="s">
        <v>590</v>
      </c>
      <c r="CW2" s="20" t="s">
        <v>590</v>
      </c>
      <c r="CX2" s="20" t="s">
        <v>590</v>
      </c>
      <c r="CY2" s="20" t="s">
        <v>590</v>
      </c>
      <c r="CZ2" s="20" t="s">
        <v>590</v>
      </c>
      <c r="DA2" s="20" t="s">
        <v>590</v>
      </c>
      <c r="DB2" s="20" t="s">
        <v>590</v>
      </c>
      <c r="DC2" s="20" t="s">
        <v>590</v>
      </c>
      <c r="DD2" s="20" t="s">
        <v>590</v>
      </c>
      <c r="DE2" s="20" t="s">
        <v>590</v>
      </c>
      <c r="DF2" s="20" t="s">
        <v>590</v>
      </c>
      <c r="DG2" s="20" t="s">
        <v>590</v>
      </c>
      <c r="DH2" s="20" t="s">
        <v>590</v>
      </c>
      <c r="DI2" s="20" t="s">
        <v>590</v>
      </c>
      <c r="DJ2" s="20" t="s">
        <v>590</v>
      </c>
      <c r="DK2" s="20" t="s">
        <v>590</v>
      </c>
      <c r="DL2" s="20" t="s">
        <v>590</v>
      </c>
      <c r="DM2" s="20" t="s">
        <v>590</v>
      </c>
      <c r="DN2" s="20" t="s">
        <v>590</v>
      </c>
      <c r="DO2" s="20" t="s">
        <v>590</v>
      </c>
      <c r="DP2" s="20" t="s">
        <v>590</v>
      </c>
      <c r="DQ2" s="20" t="s">
        <v>590</v>
      </c>
      <c r="DR2" s="20" t="s">
        <v>590</v>
      </c>
      <c r="DS2" s="20" t="s">
        <v>590</v>
      </c>
      <c r="DT2" s="20" t="s">
        <v>590</v>
      </c>
      <c r="DU2" s="20" t="s">
        <v>590</v>
      </c>
      <c r="DV2" s="20" t="s">
        <v>590</v>
      </c>
      <c r="DW2" s="20" t="s">
        <v>590</v>
      </c>
      <c r="DX2" s="20" t="s">
        <v>590</v>
      </c>
      <c r="DY2" s="20" t="s">
        <v>590</v>
      </c>
      <c r="DZ2" s="20" t="s">
        <v>590</v>
      </c>
      <c r="EA2" s="20" t="s">
        <v>590</v>
      </c>
      <c r="EB2" s="20" t="s">
        <v>590</v>
      </c>
      <c r="EC2" s="20" t="s">
        <v>590</v>
      </c>
      <c r="ED2" s="20" t="s">
        <v>590</v>
      </c>
      <c r="EE2" s="20" t="s">
        <v>590</v>
      </c>
      <c r="EF2" s="20" t="s">
        <v>590</v>
      </c>
      <c r="EG2" s="20" t="s">
        <v>590</v>
      </c>
      <c r="EH2" s="20" t="s">
        <v>590</v>
      </c>
      <c r="EI2" s="20" t="s">
        <v>590</v>
      </c>
      <c r="EJ2" s="20" t="s">
        <v>590</v>
      </c>
      <c r="EK2" s="20" t="s">
        <v>590</v>
      </c>
      <c r="EL2" s="20" t="s">
        <v>590</v>
      </c>
      <c r="EM2" s="20" t="s">
        <v>590</v>
      </c>
      <c r="EN2" s="20" t="s">
        <v>590</v>
      </c>
      <c r="EO2" s="20" t="s">
        <v>590</v>
      </c>
      <c r="EP2" s="20" t="s">
        <v>590</v>
      </c>
      <c r="EQ2" s="20" t="s">
        <v>590</v>
      </c>
      <c r="ER2" s="20" t="s">
        <v>590</v>
      </c>
      <c r="ES2" s="20" t="s">
        <v>590</v>
      </c>
      <c r="ET2" s="20" t="s">
        <v>590</v>
      </c>
      <c r="EU2" s="20" t="s">
        <v>590</v>
      </c>
      <c r="EV2" s="20" t="s">
        <v>590</v>
      </c>
      <c r="EW2" s="20" t="s">
        <v>590</v>
      </c>
      <c r="EX2" s="20" t="s">
        <v>590</v>
      </c>
      <c r="EY2" s="20" t="s">
        <v>590</v>
      </c>
      <c r="EZ2" s="20" t="s">
        <v>590</v>
      </c>
      <c r="FA2" s="20" t="s">
        <v>590</v>
      </c>
      <c r="FB2" s="20" t="s">
        <v>590</v>
      </c>
      <c r="FC2" s="20" t="s">
        <v>590</v>
      </c>
      <c r="FD2" s="20" t="s">
        <v>590</v>
      </c>
      <c r="FE2" s="20" t="s">
        <v>590</v>
      </c>
      <c r="FF2" s="20" t="s">
        <v>590</v>
      </c>
      <c r="FG2" s="20" t="s">
        <v>590</v>
      </c>
      <c r="FH2" s="20" t="s">
        <v>590</v>
      </c>
      <c r="FI2" s="20" t="s">
        <v>590</v>
      </c>
      <c r="FJ2" s="20" t="s">
        <v>590</v>
      </c>
      <c r="FK2" s="20" t="s">
        <v>590</v>
      </c>
      <c r="FL2" s="20" t="s">
        <v>590</v>
      </c>
      <c r="FM2" s="20" t="s">
        <v>590</v>
      </c>
      <c r="FN2" s="20" t="s">
        <v>590</v>
      </c>
      <c r="FO2" s="20" t="s">
        <v>590</v>
      </c>
      <c r="FP2" s="20" t="s">
        <v>590</v>
      </c>
      <c r="FQ2" s="20" t="s">
        <v>590</v>
      </c>
      <c r="FR2" s="20" t="s">
        <v>590</v>
      </c>
      <c r="FS2" s="20" t="s">
        <v>590</v>
      </c>
      <c r="FT2" s="20" t="s">
        <v>590</v>
      </c>
      <c r="FU2" s="20" t="s">
        <v>590</v>
      </c>
      <c r="FV2" s="20" t="s">
        <v>590</v>
      </c>
      <c r="FW2" s="20" t="s">
        <v>590</v>
      </c>
      <c r="FX2" s="20" t="s">
        <v>590</v>
      </c>
      <c r="FY2" s="20" t="s">
        <v>590</v>
      </c>
      <c r="FZ2" s="20" t="s">
        <v>590</v>
      </c>
      <c r="GA2" s="20" t="s">
        <v>590</v>
      </c>
      <c r="GB2" s="20" t="s">
        <v>590</v>
      </c>
      <c r="GC2" s="20" t="s">
        <v>590</v>
      </c>
      <c r="GD2" s="20" t="s">
        <v>590</v>
      </c>
      <c r="GE2" s="20" t="s">
        <v>590</v>
      </c>
      <c r="GF2" s="20" t="s">
        <v>590</v>
      </c>
      <c r="GG2" s="20" t="s">
        <v>590</v>
      </c>
      <c r="GH2" s="20" t="s">
        <v>590</v>
      </c>
      <c r="GI2" s="20" t="s">
        <v>590</v>
      </c>
      <c r="GJ2" s="20" t="s">
        <v>590</v>
      </c>
      <c r="GK2" s="20" t="s">
        <v>590</v>
      </c>
      <c r="GL2" s="20" t="s">
        <v>590</v>
      </c>
      <c r="GM2" s="20" t="s">
        <v>590</v>
      </c>
      <c r="GN2" s="20" t="s">
        <v>590</v>
      </c>
      <c r="GO2" s="20" t="s">
        <v>590</v>
      </c>
      <c r="GP2" s="20" t="s">
        <v>590</v>
      </c>
      <c r="GQ2" s="20" t="s">
        <v>590</v>
      </c>
      <c r="GR2" s="20" t="s">
        <v>590</v>
      </c>
      <c r="GS2" s="20" t="s">
        <v>590</v>
      </c>
      <c r="GT2" s="20" t="s">
        <v>590</v>
      </c>
      <c r="GU2" s="20" t="s">
        <v>590</v>
      </c>
      <c r="GV2" s="20" t="s">
        <v>590</v>
      </c>
      <c r="GW2" s="20" t="s">
        <v>590</v>
      </c>
      <c r="GX2" s="20" t="s">
        <v>590</v>
      </c>
      <c r="GY2" s="20" t="s">
        <v>590</v>
      </c>
      <c r="GZ2" s="20" t="s">
        <v>590</v>
      </c>
      <c r="HA2" s="20" t="s">
        <v>590</v>
      </c>
      <c r="HB2" s="20" t="s">
        <v>590</v>
      </c>
      <c r="HC2" s="20" t="s">
        <v>590</v>
      </c>
      <c r="HD2" s="20" t="s">
        <v>590</v>
      </c>
      <c r="HE2" s="20" t="s">
        <v>590</v>
      </c>
      <c r="HF2" s="20" t="s">
        <v>590</v>
      </c>
      <c r="HG2" s="20" t="s">
        <v>590</v>
      </c>
      <c r="HH2" s="20" t="s">
        <v>590</v>
      </c>
      <c r="HI2" s="20" t="s">
        <v>590</v>
      </c>
      <c r="HJ2" s="20" t="s">
        <v>590</v>
      </c>
      <c r="HK2" s="20" t="s">
        <v>590</v>
      </c>
      <c r="HL2" s="20" t="s">
        <v>590</v>
      </c>
      <c r="HM2" s="20" t="s">
        <v>590</v>
      </c>
      <c r="HN2" s="20" t="s">
        <v>590</v>
      </c>
      <c r="HO2" s="20" t="s">
        <v>590</v>
      </c>
      <c r="HP2" s="20" t="s">
        <v>590</v>
      </c>
      <c r="HQ2" s="20" t="s">
        <v>590</v>
      </c>
      <c r="HR2" s="20" t="s">
        <v>590</v>
      </c>
      <c r="HS2" s="20" t="s">
        <v>590</v>
      </c>
      <c r="HT2" s="20" t="s">
        <v>590</v>
      </c>
      <c r="HU2" s="20" t="s">
        <v>590</v>
      </c>
      <c r="HV2" s="20" t="s">
        <v>590</v>
      </c>
      <c r="HW2" s="20" t="s">
        <v>590</v>
      </c>
      <c r="HX2" s="20" t="s">
        <v>590</v>
      </c>
      <c r="HY2" s="20" t="s">
        <v>590</v>
      </c>
      <c r="HZ2" s="20" t="s">
        <v>590</v>
      </c>
      <c r="IA2" s="20" t="s">
        <v>590</v>
      </c>
      <c r="IB2" s="20" t="s">
        <v>590</v>
      </c>
      <c r="IC2" s="20" t="s">
        <v>590</v>
      </c>
      <c r="ID2" s="20" t="s">
        <v>590</v>
      </c>
      <c r="IE2" s="20" t="s">
        <v>590</v>
      </c>
      <c r="IF2" s="20" t="s">
        <v>590</v>
      </c>
      <c r="IG2" s="20" t="s">
        <v>590</v>
      </c>
      <c r="IH2" s="20" t="s">
        <v>590</v>
      </c>
      <c r="II2" s="20" t="s">
        <v>590</v>
      </c>
      <c r="IJ2" s="20" t="s">
        <v>590</v>
      </c>
      <c r="IK2" s="20" t="s">
        <v>590</v>
      </c>
      <c r="IL2" s="20" t="s">
        <v>590</v>
      </c>
      <c r="IM2" s="20" t="s">
        <v>590</v>
      </c>
      <c r="IN2" s="20" t="s">
        <v>590</v>
      </c>
      <c r="IO2" s="20" t="s">
        <v>590</v>
      </c>
      <c r="IP2" s="20" t="s">
        <v>590</v>
      </c>
      <c r="IQ2" s="20" t="s">
        <v>590</v>
      </c>
      <c r="IR2" s="20" t="s">
        <v>590</v>
      </c>
      <c r="IS2" s="20" t="s">
        <v>590</v>
      </c>
      <c r="IT2" s="20" t="s">
        <v>590</v>
      </c>
      <c r="IU2" s="20" t="s">
        <v>590</v>
      </c>
      <c r="IV2" s="20" t="s">
        <v>590</v>
      </c>
      <c r="IW2" s="20" t="s">
        <v>590</v>
      </c>
      <c r="IX2" s="20" t="s">
        <v>590</v>
      </c>
      <c r="IY2" s="20" t="s">
        <v>590</v>
      </c>
      <c r="IZ2" s="20" t="s">
        <v>590</v>
      </c>
      <c r="JA2" s="20" t="s">
        <v>590</v>
      </c>
      <c r="JB2" s="20" t="s">
        <v>590</v>
      </c>
      <c r="JC2" s="20" t="s">
        <v>590</v>
      </c>
      <c r="JD2" s="20" t="s">
        <v>590</v>
      </c>
      <c r="JE2" s="20" t="s">
        <v>590</v>
      </c>
      <c r="JF2" s="20" t="s">
        <v>590</v>
      </c>
      <c r="JG2" s="20" t="s">
        <v>590</v>
      </c>
      <c r="JH2" s="20" t="s">
        <v>590</v>
      </c>
      <c r="JI2" s="20" t="s">
        <v>590</v>
      </c>
      <c r="JJ2" s="20" t="s">
        <v>590</v>
      </c>
      <c r="JK2" s="20" t="s">
        <v>590</v>
      </c>
      <c r="JL2" s="20" t="s">
        <v>590</v>
      </c>
      <c r="JM2" s="20" t="s">
        <v>590</v>
      </c>
      <c r="JN2" s="20" t="s">
        <v>590</v>
      </c>
      <c r="JO2" s="20" t="s">
        <v>590</v>
      </c>
      <c r="JP2" s="20" t="s">
        <v>590</v>
      </c>
    </row>
    <row r="3" spans="1:276" s="20" customFormat="1" ht="14" customHeight="1">
      <c r="A3" s="20" t="s">
        <v>518</v>
      </c>
      <c r="E3" s="20" t="s">
        <v>648</v>
      </c>
      <c r="F3" s="20" t="s">
        <v>648</v>
      </c>
      <c r="G3" s="20" t="s">
        <v>648</v>
      </c>
      <c r="H3" s="20" t="s">
        <v>648</v>
      </c>
      <c r="I3" s="20" t="s">
        <v>648</v>
      </c>
      <c r="J3" s="20" t="s">
        <v>648</v>
      </c>
      <c r="K3" s="20" t="s">
        <v>648</v>
      </c>
      <c r="L3" s="20" t="s">
        <v>648</v>
      </c>
      <c r="M3" s="20" t="s">
        <v>648</v>
      </c>
      <c r="N3" s="20" t="s">
        <v>648</v>
      </c>
      <c r="O3" s="20" t="s">
        <v>648</v>
      </c>
      <c r="P3" s="20" t="s">
        <v>648</v>
      </c>
      <c r="Q3" s="20" t="s">
        <v>648</v>
      </c>
      <c r="R3" s="20" t="s">
        <v>648</v>
      </c>
      <c r="S3" s="20" t="s">
        <v>648</v>
      </c>
      <c r="T3" s="20" t="s">
        <v>648</v>
      </c>
      <c r="U3" s="20" t="s">
        <v>648</v>
      </c>
      <c r="V3" s="20" t="s">
        <v>648</v>
      </c>
      <c r="W3" s="20" t="s">
        <v>648</v>
      </c>
      <c r="X3" s="20" t="s">
        <v>648</v>
      </c>
      <c r="Y3" s="20" t="s">
        <v>648</v>
      </c>
      <c r="Z3" s="20" t="s">
        <v>648</v>
      </c>
      <c r="AA3" s="20" t="s">
        <v>648</v>
      </c>
      <c r="AB3" s="20" t="s">
        <v>648</v>
      </c>
      <c r="AC3" s="20" t="s">
        <v>648</v>
      </c>
      <c r="AD3" s="20" t="s">
        <v>648</v>
      </c>
      <c r="AE3" s="20" t="s">
        <v>648</v>
      </c>
      <c r="AF3" s="20" t="s">
        <v>648</v>
      </c>
      <c r="AG3" s="20" t="s">
        <v>648</v>
      </c>
      <c r="AH3" s="20" t="s">
        <v>648</v>
      </c>
      <c r="AI3" s="20" t="s">
        <v>648</v>
      </c>
      <c r="AJ3" s="20" t="s">
        <v>648</v>
      </c>
      <c r="AK3" s="20" t="s">
        <v>648</v>
      </c>
      <c r="AL3" s="20" t="s">
        <v>648</v>
      </c>
      <c r="AM3" s="20" t="s">
        <v>648</v>
      </c>
      <c r="AN3" s="20" t="s">
        <v>648</v>
      </c>
      <c r="AO3" s="20" t="s">
        <v>648</v>
      </c>
      <c r="AP3" s="20" t="s">
        <v>648</v>
      </c>
      <c r="AQ3" s="20" t="s">
        <v>648</v>
      </c>
      <c r="AR3" s="20" t="s">
        <v>648</v>
      </c>
      <c r="AS3" s="20" t="s">
        <v>648</v>
      </c>
      <c r="AT3" s="20" t="s">
        <v>648</v>
      </c>
      <c r="AU3" s="20" t="s">
        <v>648</v>
      </c>
      <c r="AV3" s="20" t="s">
        <v>648</v>
      </c>
      <c r="AW3" s="20" t="s">
        <v>648</v>
      </c>
      <c r="AX3" s="20" t="s">
        <v>648</v>
      </c>
      <c r="AY3" s="20" t="s">
        <v>648</v>
      </c>
      <c r="AZ3" s="20" t="s">
        <v>648</v>
      </c>
      <c r="BA3" s="20" t="s">
        <v>648</v>
      </c>
      <c r="BB3" s="20" t="s">
        <v>648</v>
      </c>
      <c r="BC3" s="20" t="s">
        <v>648</v>
      </c>
      <c r="BD3" s="20" t="s">
        <v>648</v>
      </c>
      <c r="BE3" s="20" t="s">
        <v>648</v>
      </c>
      <c r="BF3" s="20" t="s">
        <v>648</v>
      </c>
      <c r="BG3" s="20" t="s">
        <v>648</v>
      </c>
      <c r="BH3" s="20" t="s">
        <v>648</v>
      </c>
      <c r="BI3" s="20" t="s">
        <v>648</v>
      </c>
      <c r="BJ3" s="20" t="s">
        <v>648</v>
      </c>
      <c r="BK3" s="20" t="s">
        <v>648</v>
      </c>
      <c r="BL3" s="20" t="s">
        <v>648</v>
      </c>
      <c r="BM3" s="20" t="s">
        <v>648</v>
      </c>
      <c r="BN3" s="20" t="s">
        <v>648</v>
      </c>
      <c r="BO3" s="20" t="s">
        <v>648</v>
      </c>
      <c r="BP3" s="20" t="s">
        <v>648</v>
      </c>
      <c r="BQ3" s="20" t="s">
        <v>648</v>
      </c>
      <c r="BR3" s="20" t="s">
        <v>648</v>
      </c>
      <c r="BS3" s="20" t="s">
        <v>648</v>
      </c>
      <c r="BT3" s="20" t="s">
        <v>648</v>
      </c>
      <c r="BU3" s="20" t="s">
        <v>648</v>
      </c>
      <c r="BV3" s="20" t="s">
        <v>648</v>
      </c>
      <c r="BW3" s="20" t="s">
        <v>648</v>
      </c>
      <c r="BX3" s="20" t="s">
        <v>648</v>
      </c>
      <c r="BY3" s="20" t="s">
        <v>648</v>
      </c>
      <c r="BZ3" s="20" t="s">
        <v>648</v>
      </c>
      <c r="CA3" s="20" t="s">
        <v>648</v>
      </c>
      <c r="CB3" s="20" t="s">
        <v>648</v>
      </c>
      <c r="CC3" s="20" t="s">
        <v>648</v>
      </c>
      <c r="CD3" s="20" t="s">
        <v>648</v>
      </c>
      <c r="CE3" s="20" t="s">
        <v>648</v>
      </c>
      <c r="CF3" s="20" t="s">
        <v>648</v>
      </c>
      <c r="CG3" s="20" t="s">
        <v>648</v>
      </c>
      <c r="CH3" s="20" t="s">
        <v>648</v>
      </c>
      <c r="CI3" s="20" t="s">
        <v>648</v>
      </c>
      <c r="CJ3" s="20" t="s">
        <v>648</v>
      </c>
      <c r="CK3" s="20" t="s">
        <v>648</v>
      </c>
      <c r="CL3" s="20" t="s">
        <v>648</v>
      </c>
      <c r="CM3" s="20" t="s">
        <v>648</v>
      </c>
      <c r="CN3" s="20" t="s">
        <v>648</v>
      </c>
      <c r="CO3" s="20" t="s">
        <v>648</v>
      </c>
      <c r="CP3" s="20" t="s">
        <v>648</v>
      </c>
      <c r="CQ3" s="20" t="s">
        <v>648</v>
      </c>
      <c r="CR3" s="20" t="s">
        <v>648</v>
      </c>
      <c r="CS3" s="20" t="s">
        <v>648</v>
      </c>
      <c r="CT3" s="20" t="s">
        <v>648</v>
      </c>
      <c r="CU3" s="20" t="s">
        <v>648</v>
      </c>
      <c r="CV3" s="20" t="s">
        <v>648</v>
      </c>
      <c r="CW3" s="20" t="s">
        <v>648</v>
      </c>
      <c r="CX3" s="20" t="s">
        <v>648</v>
      </c>
      <c r="CY3" s="20" t="s">
        <v>648</v>
      </c>
      <c r="CZ3" s="20" t="s">
        <v>648</v>
      </c>
      <c r="DA3" s="20" t="s">
        <v>648</v>
      </c>
      <c r="DB3" s="20" t="s">
        <v>648</v>
      </c>
      <c r="DC3" s="20" t="s">
        <v>648</v>
      </c>
      <c r="DD3" s="20" t="s">
        <v>648</v>
      </c>
      <c r="DE3" s="20" t="s">
        <v>648</v>
      </c>
      <c r="DF3" s="20" t="s">
        <v>648</v>
      </c>
      <c r="DG3" s="20" t="s">
        <v>648</v>
      </c>
      <c r="DH3" s="20" t="s">
        <v>648</v>
      </c>
      <c r="DI3" s="20" t="s">
        <v>648</v>
      </c>
      <c r="DJ3" s="20" t="s">
        <v>648</v>
      </c>
      <c r="DK3" s="20" t="s">
        <v>648</v>
      </c>
      <c r="DL3" s="20" t="s">
        <v>648</v>
      </c>
      <c r="DM3" s="20" t="s">
        <v>648</v>
      </c>
      <c r="DN3" s="20" t="s">
        <v>648</v>
      </c>
      <c r="DO3" s="20" t="s">
        <v>648</v>
      </c>
      <c r="DP3" s="20" t="s">
        <v>648</v>
      </c>
      <c r="DQ3" s="20" t="s">
        <v>648</v>
      </c>
      <c r="DR3" s="20" t="s">
        <v>648</v>
      </c>
      <c r="DS3" s="20" t="s">
        <v>648</v>
      </c>
      <c r="DT3" s="20" t="s">
        <v>490</v>
      </c>
      <c r="DU3" s="20" t="s">
        <v>490</v>
      </c>
      <c r="DV3" s="20" t="s">
        <v>490</v>
      </c>
      <c r="DW3" s="20" t="s">
        <v>490</v>
      </c>
      <c r="DX3" s="20" t="s">
        <v>490</v>
      </c>
      <c r="DY3" s="20" t="s">
        <v>490</v>
      </c>
      <c r="DZ3" s="20" t="s">
        <v>490</v>
      </c>
      <c r="EA3" s="20" t="s">
        <v>490</v>
      </c>
      <c r="EB3" s="20" t="s">
        <v>490</v>
      </c>
      <c r="EC3" s="20" t="s">
        <v>490</v>
      </c>
      <c r="ED3" s="20" t="s">
        <v>490</v>
      </c>
      <c r="EE3" s="20" t="s">
        <v>490</v>
      </c>
      <c r="EF3" s="20" t="s">
        <v>490</v>
      </c>
      <c r="EG3" s="20" t="s">
        <v>648</v>
      </c>
      <c r="EH3" s="20" t="s">
        <v>648</v>
      </c>
      <c r="EI3" s="20" t="s">
        <v>648</v>
      </c>
      <c r="EJ3" s="20" t="s">
        <v>648</v>
      </c>
      <c r="EK3" s="20" t="s">
        <v>648</v>
      </c>
      <c r="EL3" s="20" t="s">
        <v>648</v>
      </c>
      <c r="EM3" s="20" t="s">
        <v>648</v>
      </c>
      <c r="EN3" s="20" t="s">
        <v>648</v>
      </c>
      <c r="EO3" s="20" t="s">
        <v>490</v>
      </c>
      <c r="EP3" s="20" t="s">
        <v>490</v>
      </c>
      <c r="EQ3" s="20" t="s">
        <v>490</v>
      </c>
      <c r="ER3" s="20" t="s">
        <v>490</v>
      </c>
      <c r="ES3" s="20" t="s">
        <v>490</v>
      </c>
      <c r="ET3" s="20" t="s">
        <v>490</v>
      </c>
      <c r="EU3" s="20" t="s">
        <v>490</v>
      </c>
      <c r="EV3" s="20" t="s">
        <v>490</v>
      </c>
      <c r="EW3" s="20" t="s">
        <v>490</v>
      </c>
      <c r="EX3" s="20" t="s">
        <v>490</v>
      </c>
      <c r="EY3" s="20" t="s">
        <v>490</v>
      </c>
      <c r="EZ3" s="20" t="s">
        <v>490</v>
      </c>
      <c r="FA3" s="20" t="s">
        <v>490</v>
      </c>
      <c r="FB3" s="20" t="s">
        <v>490</v>
      </c>
      <c r="FC3" s="20" t="s">
        <v>490</v>
      </c>
      <c r="FD3" s="20" t="s">
        <v>490</v>
      </c>
      <c r="FE3" s="20" t="s">
        <v>490</v>
      </c>
      <c r="FF3" s="20" t="s">
        <v>490</v>
      </c>
      <c r="FG3" s="20" t="s">
        <v>490</v>
      </c>
      <c r="FH3" s="20" t="s">
        <v>490</v>
      </c>
      <c r="FI3" s="20" t="s">
        <v>490</v>
      </c>
      <c r="FJ3" s="20" t="s">
        <v>490</v>
      </c>
      <c r="FK3" s="20" t="s">
        <v>490</v>
      </c>
      <c r="FL3" s="20" t="s">
        <v>490</v>
      </c>
      <c r="FM3" s="20" t="s">
        <v>490</v>
      </c>
      <c r="FN3" s="20" t="s">
        <v>490</v>
      </c>
      <c r="FO3" s="20" t="s">
        <v>490</v>
      </c>
      <c r="FP3" s="20" t="s">
        <v>490</v>
      </c>
      <c r="FQ3" s="20" t="s">
        <v>490</v>
      </c>
      <c r="FR3" s="20" t="s">
        <v>490</v>
      </c>
      <c r="FS3" s="20" t="s">
        <v>490</v>
      </c>
      <c r="FT3" s="20" t="s">
        <v>490</v>
      </c>
      <c r="FU3" s="20" t="s">
        <v>490</v>
      </c>
      <c r="FV3" s="20" t="s">
        <v>490</v>
      </c>
      <c r="FW3" s="20" t="s">
        <v>490</v>
      </c>
      <c r="FX3" s="20" t="s">
        <v>490</v>
      </c>
      <c r="FY3" s="20" t="s">
        <v>490</v>
      </c>
      <c r="FZ3" s="20" t="s">
        <v>490</v>
      </c>
      <c r="GA3" s="20" t="s">
        <v>490</v>
      </c>
      <c r="GB3" s="20" t="s">
        <v>490</v>
      </c>
      <c r="GC3" s="20" t="s">
        <v>490</v>
      </c>
      <c r="GD3" s="20" t="s">
        <v>490</v>
      </c>
      <c r="GE3" s="20" t="s">
        <v>490</v>
      </c>
      <c r="GF3" s="20" t="s">
        <v>490</v>
      </c>
      <c r="GG3" s="20" t="s">
        <v>3496</v>
      </c>
      <c r="GH3" s="20" t="s">
        <v>3496</v>
      </c>
      <c r="GI3" s="20" t="s">
        <v>3496</v>
      </c>
      <c r="GJ3" s="20" t="s">
        <v>3496</v>
      </c>
      <c r="GK3" s="20" t="s">
        <v>3496</v>
      </c>
      <c r="GL3" s="20" t="s">
        <v>3496</v>
      </c>
      <c r="GM3" s="20" t="s">
        <v>3496</v>
      </c>
      <c r="GN3" s="20" t="s">
        <v>3496</v>
      </c>
      <c r="GO3" s="20" t="s">
        <v>3496</v>
      </c>
      <c r="GP3" s="20" t="s">
        <v>3496</v>
      </c>
      <c r="GQ3" s="20" t="s">
        <v>3496</v>
      </c>
      <c r="GR3" s="20" t="s">
        <v>3496</v>
      </c>
      <c r="GS3" s="20" t="s">
        <v>3496</v>
      </c>
      <c r="GT3" s="20" t="s">
        <v>3496</v>
      </c>
      <c r="GU3" s="20" t="s">
        <v>3496</v>
      </c>
      <c r="GV3" s="20" t="s">
        <v>3496</v>
      </c>
      <c r="GW3" s="20" t="s">
        <v>3496</v>
      </c>
      <c r="GX3" s="20" t="s">
        <v>3496</v>
      </c>
      <c r="GY3" s="20" t="s">
        <v>3496</v>
      </c>
      <c r="GZ3" s="20" t="s">
        <v>3496</v>
      </c>
      <c r="HA3" s="20" t="s">
        <v>3496</v>
      </c>
      <c r="HB3" s="20" t="s">
        <v>3496</v>
      </c>
      <c r="HC3" s="20" t="s">
        <v>3496</v>
      </c>
      <c r="HD3" s="20" t="s">
        <v>3496</v>
      </c>
      <c r="HE3" s="20" t="s">
        <v>3496</v>
      </c>
      <c r="HF3" s="20" t="s">
        <v>3496</v>
      </c>
      <c r="HG3" s="20" t="s">
        <v>3496</v>
      </c>
      <c r="HH3" s="20" t="s">
        <v>3496</v>
      </c>
      <c r="HI3" s="20" t="s">
        <v>3496</v>
      </c>
      <c r="HJ3" s="20" t="s">
        <v>3496</v>
      </c>
      <c r="HK3" s="20" t="s">
        <v>3496</v>
      </c>
      <c r="HL3" s="20" t="s">
        <v>3496</v>
      </c>
      <c r="HM3" s="20" t="s">
        <v>3496</v>
      </c>
      <c r="HN3" s="20" t="s">
        <v>3496</v>
      </c>
      <c r="HO3" s="20" t="s">
        <v>3496</v>
      </c>
      <c r="HP3" s="20" t="s">
        <v>3496</v>
      </c>
      <c r="HQ3" s="20" t="s">
        <v>3496</v>
      </c>
      <c r="HR3" s="20" t="s">
        <v>3496</v>
      </c>
      <c r="HS3" s="20" t="s">
        <v>3496</v>
      </c>
      <c r="HT3" s="20" t="s">
        <v>3496</v>
      </c>
      <c r="HU3" s="20" t="s">
        <v>3496</v>
      </c>
      <c r="HV3" s="20" t="s">
        <v>3496</v>
      </c>
      <c r="HW3" s="20" t="s">
        <v>3496</v>
      </c>
      <c r="HX3" s="20" t="s">
        <v>3496</v>
      </c>
      <c r="HY3" s="20" t="s">
        <v>648</v>
      </c>
      <c r="HZ3" s="20" t="s">
        <v>648</v>
      </c>
      <c r="IA3" s="20" t="s">
        <v>648</v>
      </c>
      <c r="IB3" s="20" t="s">
        <v>648</v>
      </c>
      <c r="IC3" s="20" t="s">
        <v>648</v>
      </c>
      <c r="ID3" s="20" t="s">
        <v>648</v>
      </c>
      <c r="IE3" s="20" t="s">
        <v>648</v>
      </c>
      <c r="IF3" s="20" t="s">
        <v>648</v>
      </c>
      <c r="IG3" s="20" t="s">
        <v>648</v>
      </c>
      <c r="IH3" s="20" t="s">
        <v>648</v>
      </c>
      <c r="II3" s="20" t="s">
        <v>648</v>
      </c>
      <c r="IJ3" s="20" t="s">
        <v>648</v>
      </c>
      <c r="IK3" s="20" t="s">
        <v>648</v>
      </c>
      <c r="IL3" s="20" t="s">
        <v>648</v>
      </c>
      <c r="IM3" s="20" t="s">
        <v>648</v>
      </c>
      <c r="IN3" s="20" t="s">
        <v>648</v>
      </c>
      <c r="IO3" s="20" t="s">
        <v>648</v>
      </c>
      <c r="IP3" s="20" t="s">
        <v>648</v>
      </c>
      <c r="IQ3" s="20" t="s">
        <v>648</v>
      </c>
      <c r="IR3" s="20" t="s">
        <v>648</v>
      </c>
      <c r="IS3" s="20" t="s">
        <v>648</v>
      </c>
      <c r="IT3" s="20" t="s">
        <v>648</v>
      </c>
      <c r="IU3" s="20" t="s">
        <v>648</v>
      </c>
      <c r="IV3" s="20" t="s">
        <v>648</v>
      </c>
      <c r="IW3" s="20" t="s">
        <v>648</v>
      </c>
      <c r="IX3" s="20" t="s">
        <v>648</v>
      </c>
      <c r="IY3" s="20" t="s">
        <v>648</v>
      </c>
      <c r="IZ3" s="20" t="s">
        <v>648</v>
      </c>
      <c r="JA3" s="20" t="s">
        <v>648</v>
      </c>
      <c r="JB3" s="20" t="s">
        <v>648</v>
      </c>
      <c r="JC3" s="20" t="s">
        <v>648</v>
      </c>
      <c r="JD3" s="20" t="s">
        <v>648</v>
      </c>
      <c r="JE3" s="20" t="s">
        <v>648</v>
      </c>
      <c r="JF3" s="20" t="s">
        <v>648</v>
      </c>
      <c r="JG3" s="20" t="s">
        <v>648</v>
      </c>
      <c r="JH3" s="20" t="s">
        <v>648</v>
      </c>
      <c r="JI3" s="20" t="s">
        <v>648</v>
      </c>
      <c r="JJ3" s="20" t="s">
        <v>648</v>
      </c>
      <c r="JK3" s="20" t="s">
        <v>648</v>
      </c>
      <c r="JL3" s="20" t="s">
        <v>648</v>
      </c>
      <c r="JM3" s="20" t="s">
        <v>648</v>
      </c>
      <c r="JN3" s="20" t="s">
        <v>648</v>
      </c>
      <c r="JO3" s="20" t="s">
        <v>648</v>
      </c>
      <c r="JP3" s="20" t="s">
        <v>648</v>
      </c>
    </row>
    <row r="4" spans="1:276" s="1" customFormat="1" ht="14" customHeight="1">
      <c r="A4" s="1" t="s">
        <v>736</v>
      </c>
      <c r="CD4" s="1" t="s">
        <v>558</v>
      </c>
      <c r="CE4" s="1" t="s">
        <v>558</v>
      </c>
      <c r="CF4" s="1" t="s">
        <v>558</v>
      </c>
      <c r="CG4" s="1" t="s">
        <v>558</v>
      </c>
      <c r="CH4" s="1" t="s">
        <v>558</v>
      </c>
      <c r="CI4" s="1" t="s">
        <v>558</v>
      </c>
      <c r="CJ4" s="1" t="s">
        <v>558</v>
      </c>
      <c r="CK4" s="1" t="s">
        <v>558</v>
      </c>
      <c r="CL4" s="1" t="s">
        <v>558</v>
      </c>
      <c r="CM4" s="1" t="s">
        <v>558</v>
      </c>
      <c r="CN4" s="1" t="s">
        <v>558</v>
      </c>
      <c r="CO4" s="1" t="s">
        <v>558</v>
      </c>
      <c r="CP4" s="1" t="s">
        <v>558</v>
      </c>
      <c r="CQ4" s="1" t="s">
        <v>558</v>
      </c>
      <c r="CR4" s="1" t="s">
        <v>558</v>
      </c>
      <c r="CS4" s="1" t="s">
        <v>558</v>
      </c>
      <c r="CT4" s="1" t="s">
        <v>558</v>
      </c>
      <c r="CU4" s="1" t="s">
        <v>558</v>
      </c>
      <c r="CV4" s="1" t="s">
        <v>558</v>
      </c>
      <c r="CW4" s="1" t="s">
        <v>558</v>
      </c>
      <c r="CX4" s="1" t="s">
        <v>558</v>
      </c>
      <c r="CY4" s="1" t="s">
        <v>558</v>
      </c>
      <c r="CZ4" s="1" t="s">
        <v>558</v>
      </c>
      <c r="DA4" s="1" t="s">
        <v>558</v>
      </c>
      <c r="DB4" s="1" t="s">
        <v>558</v>
      </c>
      <c r="DC4" s="1" t="s">
        <v>558</v>
      </c>
      <c r="DD4" s="1" t="s">
        <v>558</v>
      </c>
      <c r="DE4" s="1" t="s">
        <v>558</v>
      </c>
      <c r="DF4" s="1" t="s">
        <v>558</v>
      </c>
      <c r="GG4" s="216">
        <v>95479.3828125</v>
      </c>
      <c r="GH4" s="216">
        <v>99901.8125</v>
      </c>
      <c r="GI4" s="216">
        <v>102289.15625</v>
      </c>
      <c r="GJ4" s="216">
        <v>108064.6796875</v>
      </c>
      <c r="GK4" s="216">
        <v>113038.7265625</v>
      </c>
      <c r="GL4" s="216">
        <v>111643.65625</v>
      </c>
      <c r="GM4" s="216">
        <v>110320.2734375</v>
      </c>
      <c r="GN4" s="216">
        <v>114844.109375</v>
      </c>
      <c r="GO4" s="216">
        <v>111297.921875</v>
      </c>
      <c r="GP4" s="216">
        <v>121546.7109375</v>
      </c>
      <c r="GQ4" s="216">
        <v>128656.6953125</v>
      </c>
      <c r="GR4" s="216">
        <v>127595.09375</v>
      </c>
      <c r="GS4" s="216">
        <v>127661.9921875</v>
      </c>
      <c r="GT4" s="216">
        <v>139502.765625</v>
      </c>
      <c r="GU4" s="216">
        <v>148994.609375</v>
      </c>
      <c r="GV4" s="216">
        <v>142946.046875</v>
      </c>
      <c r="GW4" s="216">
        <v>162835.359375</v>
      </c>
      <c r="GX4" s="216">
        <v>175065.09375</v>
      </c>
      <c r="GY4" s="216">
        <v>183604.21875</v>
      </c>
      <c r="GZ4" s="216">
        <v>180500.640625</v>
      </c>
      <c r="HA4" s="216">
        <v>194594.703125</v>
      </c>
      <c r="HB4" s="216">
        <v>233984.21875</v>
      </c>
      <c r="HC4" s="216">
        <v>281707.59375</v>
      </c>
      <c r="HD4" s="216">
        <v>325385.65625</v>
      </c>
      <c r="HE4" s="216">
        <v>379470.1875</v>
      </c>
      <c r="HF4" s="216">
        <v>419159.125</v>
      </c>
      <c r="HG4" s="216">
        <v>537693.3125</v>
      </c>
      <c r="HH4" s="216">
        <v>560207.25</v>
      </c>
      <c r="HI4" s="216">
        <v>564924.8125</v>
      </c>
      <c r="HJ4" s="216">
        <v>530878.625</v>
      </c>
      <c r="HK4" s="216">
        <v>525824.8125</v>
      </c>
      <c r="HL4" s="216">
        <v>491117.40625</v>
      </c>
      <c r="HM4" s="216">
        <v>453929.6875</v>
      </c>
      <c r="HN4" s="216">
        <v>479253.25</v>
      </c>
      <c r="HO4" s="216">
        <v>517308.9375</v>
      </c>
      <c r="HP4" s="216">
        <v>556650.375</v>
      </c>
      <c r="HQ4" s="216">
        <v>606310.625</v>
      </c>
      <c r="HR4" s="216">
        <v>660317.9375</v>
      </c>
      <c r="HS4" s="216">
        <v>693144.8125</v>
      </c>
      <c r="HT4" s="216">
        <v>692631.9375</v>
      </c>
      <c r="HU4" s="216">
        <v>762683.625</v>
      </c>
      <c r="HV4" s="216">
        <v>842470.6875</v>
      </c>
      <c r="HW4" s="216">
        <v>853745.875</v>
      </c>
      <c r="HX4" s="216">
        <v>875387.3125</v>
      </c>
      <c r="HY4" s="216"/>
    </row>
    <row r="5" spans="1:276" s="1" customFormat="1" ht="14" customHeight="1">
      <c r="A5" s="1" t="s">
        <v>737</v>
      </c>
      <c r="E5" s="1" t="s">
        <v>649</v>
      </c>
      <c r="F5" s="1" t="s">
        <v>649</v>
      </c>
      <c r="G5" s="1" t="s">
        <v>649</v>
      </c>
      <c r="H5" s="1" t="s">
        <v>649</v>
      </c>
      <c r="I5" s="1" t="s">
        <v>649</v>
      </c>
      <c r="J5" s="1" t="s">
        <v>649</v>
      </c>
      <c r="K5" s="1" t="s">
        <v>649</v>
      </c>
      <c r="L5" s="1" t="s">
        <v>649</v>
      </c>
      <c r="M5" s="1" t="s">
        <v>649</v>
      </c>
      <c r="N5" s="1" t="s">
        <v>649</v>
      </c>
      <c r="O5" s="1" t="s">
        <v>649</v>
      </c>
      <c r="P5" s="1" t="s">
        <v>649</v>
      </c>
      <c r="Q5" s="1" t="s">
        <v>649</v>
      </c>
      <c r="R5" s="1" t="s">
        <v>649</v>
      </c>
      <c r="S5" s="1" t="s">
        <v>649</v>
      </c>
      <c r="T5" s="1" t="s">
        <v>649</v>
      </c>
      <c r="U5" s="1" t="s">
        <v>649</v>
      </c>
      <c r="V5" s="1" t="s">
        <v>649</v>
      </c>
      <c r="W5" s="1" t="s">
        <v>649</v>
      </c>
      <c r="X5" s="1" t="s">
        <v>649</v>
      </c>
      <c r="Y5" s="1" t="s">
        <v>649</v>
      </c>
      <c r="Z5" s="1" t="s">
        <v>649</v>
      </c>
      <c r="AA5" s="1" t="s">
        <v>649</v>
      </c>
      <c r="AB5" s="1" t="s">
        <v>649</v>
      </c>
      <c r="AC5" s="1" t="s">
        <v>649</v>
      </c>
      <c r="AD5" s="1" t="s">
        <v>649</v>
      </c>
      <c r="AE5" s="1" t="s">
        <v>649</v>
      </c>
      <c r="AF5" s="1" t="s">
        <v>649</v>
      </c>
      <c r="AG5" s="1" t="s">
        <v>649</v>
      </c>
      <c r="AH5" s="1" t="s">
        <v>649</v>
      </c>
      <c r="AI5" s="1" t="s">
        <v>649</v>
      </c>
      <c r="AJ5" s="1" t="s">
        <v>649</v>
      </c>
      <c r="AK5" s="1" t="s">
        <v>649</v>
      </c>
      <c r="AL5" s="1" t="s">
        <v>649</v>
      </c>
      <c r="AM5" s="1" t="s">
        <v>649</v>
      </c>
      <c r="AN5" s="1" t="s">
        <v>649</v>
      </c>
      <c r="AO5" s="1" t="s">
        <v>649</v>
      </c>
      <c r="AP5" s="1" t="s">
        <v>649</v>
      </c>
      <c r="AQ5" s="1" t="s">
        <v>649</v>
      </c>
      <c r="AR5" s="1" t="s">
        <v>649</v>
      </c>
      <c r="AS5" s="1" t="s">
        <v>649</v>
      </c>
      <c r="AT5" s="1" t="s">
        <v>1324</v>
      </c>
      <c r="AU5" s="1" t="s">
        <v>1324</v>
      </c>
      <c r="AV5" s="1" t="s">
        <v>1324</v>
      </c>
      <c r="AW5" s="1" t="s">
        <v>1324</v>
      </c>
      <c r="AX5" s="1" t="s">
        <v>1324</v>
      </c>
      <c r="AY5" s="1" t="s">
        <v>1324</v>
      </c>
      <c r="AZ5" s="1" t="s">
        <v>1324</v>
      </c>
      <c r="BA5" s="1" t="s">
        <v>1324</v>
      </c>
      <c r="BB5" s="1" t="s">
        <v>1324</v>
      </c>
      <c r="BC5" s="1" t="s">
        <v>1324</v>
      </c>
      <c r="BD5" s="1" t="s">
        <v>1324</v>
      </c>
      <c r="BE5" s="1" t="s">
        <v>1324</v>
      </c>
      <c r="BF5" s="1" t="s">
        <v>1324</v>
      </c>
      <c r="BG5" s="1" t="s">
        <v>1324</v>
      </c>
      <c r="BH5" s="1" t="s">
        <v>1324</v>
      </c>
      <c r="BI5" s="1" t="s">
        <v>1324</v>
      </c>
      <c r="BJ5" s="1" t="s">
        <v>1324</v>
      </c>
      <c r="BK5" s="1" t="s">
        <v>1324</v>
      </c>
      <c r="BL5" s="1" t="s">
        <v>1324</v>
      </c>
      <c r="BM5" s="1" t="s">
        <v>1324</v>
      </c>
      <c r="BN5" s="1" t="s">
        <v>1324</v>
      </c>
      <c r="BO5" s="1" t="s">
        <v>1324</v>
      </c>
      <c r="BP5" s="1" t="s">
        <v>1324</v>
      </c>
      <c r="BQ5" s="1" t="s">
        <v>1324</v>
      </c>
      <c r="BR5" s="1" t="s">
        <v>1324</v>
      </c>
      <c r="BS5" s="1" t="s">
        <v>1324</v>
      </c>
      <c r="BT5" s="1" t="s">
        <v>1324</v>
      </c>
      <c r="BU5" s="1" t="s">
        <v>1324</v>
      </c>
      <c r="BV5" s="1" t="s">
        <v>1324</v>
      </c>
      <c r="BW5" s="1" t="s">
        <v>1324</v>
      </c>
      <c r="BX5" s="1" t="s">
        <v>1324</v>
      </c>
      <c r="BY5" s="1" t="s">
        <v>1324</v>
      </c>
      <c r="BZ5" s="1" t="s">
        <v>1324</v>
      </c>
      <c r="CA5" s="1" t="s">
        <v>1324</v>
      </c>
      <c r="CB5" s="1" t="s">
        <v>1324</v>
      </c>
      <c r="CC5" s="1" t="s">
        <v>1324</v>
      </c>
      <c r="CD5" s="1" t="s">
        <v>485</v>
      </c>
      <c r="CE5" s="1" t="s">
        <v>485</v>
      </c>
      <c r="CF5" s="1" t="s">
        <v>485</v>
      </c>
      <c r="CG5" s="1" t="s">
        <v>485</v>
      </c>
      <c r="CH5" s="1" t="s">
        <v>485</v>
      </c>
      <c r="CI5" s="1" t="s">
        <v>485</v>
      </c>
      <c r="CJ5" s="1" t="s">
        <v>485</v>
      </c>
      <c r="CK5" s="1" t="s">
        <v>485</v>
      </c>
      <c r="CL5" s="1" t="s">
        <v>485</v>
      </c>
      <c r="CM5" s="1" t="s">
        <v>485</v>
      </c>
      <c r="CN5" s="1" t="s">
        <v>485</v>
      </c>
      <c r="CO5" s="1" t="s">
        <v>485</v>
      </c>
      <c r="CP5" s="1" t="s">
        <v>485</v>
      </c>
      <c r="CQ5" s="1" t="s">
        <v>485</v>
      </c>
      <c r="CR5" s="1" t="s">
        <v>485</v>
      </c>
      <c r="CS5" s="1" t="s">
        <v>485</v>
      </c>
      <c r="CT5" s="1" t="s">
        <v>485</v>
      </c>
      <c r="CU5" s="1" t="s">
        <v>485</v>
      </c>
      <c r="CV5" s="1" t="s">
        <v>485</v>
      </c>
      <c r="CW5" s="1" t="s">
        <v>485</v>
      </c>
      <c r="CX5" s="1" t="s">
        <v>485</v>
      </c>
      <c r="CY5" s="1" t="s">
        <v>485</v>
      </c>
      <c r="CZ5" s="1" t="s">
        <v>485</v>
      </c>
      <c r="DA5" s="1" t="s">
        <v>485</v>
      </c>
      <c r="DB5" s="1" t="s">
        <v>485</v>
      </c>
      <c r="DC5" s="1" t="s">
        <v>485</v>
      </c>
      <c r="DD5" s="1" t="s">
        <v>485</v>
      </c>
      <c r="DE5" s="1" t="s">
        <v>485</v>
      </c>
      <c r="DF5" s="1" t="s">
        <v>485</v>
      </c>
      <c r="DG5" s="1" t="s">
        <v>250</v>
      </c>
      <c r="DH5" s="1" t="s">
        <v>250</v>
      </c>
      <c r="DI5" s="1" t="s">
        <v>250</v>
      </c>
      <c r="DJ5" s="1" t="s">
        <v>250</v>
      </c>
      <c r="DK5" s="1" t="s">
        <v>250</v>
      </c>
      <c r="DL5" s="1" t="s">
        <v>250</v>
      </c>
      <c r="DM5" s="1" t="s">
        <v>250</v>
      </c>
      <c r="DN5" s="1" t="s">
        <v>250</v>
      </c>
      <c r="DO5" s="1" t="s">
        <v>250</v>
      </c>
      <c r="DP5" s="1" t="s">
        <v>250</v>
      </c>
      <c r="DQ5" s="1" t="s">
        <v>250</v>
      </c>
      <c r="DR5" s="1" t="s">
        <v>250</v>
      </c>
      <c r="DS5" s="1" t="s">
        <v>250</v>
      </c>
      <c r="DT5" s="1" t="s">
        <v>528</v>
      </c>
      <c r="DU5" s="1" t="s">
        <v>528</v>
      </c>
      <c r="DV5" s="1" t="s">
        <v>528</v>
      </c>
      <c r="DW5" s="1" t="s">
        <v>528</v>
      </c>
      <c r="DX5" s="1" t="s">
        <v>528</v>
      </c>
      <c r="DY5" s="1" t="s">
        <v>528</v>
      </c>
      <c r="DZ5" s="1" t="s">
        <v>528</v>
      </c>
      <c r="EA5" s="1" t="s">
        <v>528</v>
      </c>
      <c r="EB5" s="1" t="s">
        <v>528</v>
      </c>
      <c r="EC5" s="1" t="s">
        <v>528</v>
      </c>
      <c r="ED5" s="1" t="s">
        <v>528</v>
      </c>
      <c r="EE5" s="1" t="s">
        <v>528</v>
      </c>
      <c r="EF5" s="1" t="s">
        <v>528</v>
      </c>
      <c r="EG5" s="1" t="s">
        <v>677</v>
      </c>
      <c r="EH5" s="1" t="s">
        <v>677</v>
      </c>
      <c r="EI5" s="1" t="s">
        <v>677</v>
      </c>
      <c r="EJ5" s="1" t="s">
        <v>654</v>
      </c>
      <c r="EK5" s="1" t="s">
        <v>654</v>
      </c>
      <c r="EL5" s="1" t="s">
        <v>654</v>
      </c>
      <c r="EM5" s="1" t="s">
        <v>463</v>
      </c>
      <c r="EN5" s="1" t="s">
        <v>687</v>
      </c>
      <c r="EO5" s="1" t="s">
        <v>3379</v>
      </c>
      <c r="EP5" s="1" t="s">
        <v>3379</v>
      </c>
      <c r="EQ5" s="1" t="s">
        <v>3379</v>
      </c>
      <c r="ER5" s="1" t="s">
        <v>3379</v>
      </c>
      <c r="ES5" s="1" t="s">
        <v>3379</v>
      </c>
      <c r="ET5" s="1" t="s">
        <v>3379</v>
      </c>
      <c r="EU5" s="1" t="s">
        <v>3379</v>
      </c>
      <c r="EV5" s="1" t="s">
        <v>3379</v>
      </c>
      <c r="EW5" s="1" t="s">
        <v>3379</v>
      </c>
      <c r="EX5" s="1" t="s">
        <v>3379</v>
      </c>
      <c r="EY5" s="1" t="s">
        <v>3379</v>
      </c>
      <c r="EZ5" s="1" t="s">
        <v>3379</v>
      </c>
      <c r="FA5" s="1" t="s">
        <v>3379</v>
      </c>
      <c r="FB5" s="1" t="s">
        <v>3379</v>
      </c>
      <c r="FC5" s="1" t="s">
        <v>3379</v>
      </c>
      <c r="FD5" s="1" t="s">
        <v>3379</v>
      </c>
      <c r="FE5" s="1" t="s">
        <v>3379</v>
      </c>
      <c r="FF5" s="1" t="s">
        <v>3379</v>
      </c>
      <c r="FG5" s="1" t="s">
        <v>3379</v>
      </c>
      <c r="FH5" s="1" t="s">
        <v>3379</v>
      </c>
      <c r="FI5" s="1" t="s">
        <v>3379</v>
      </c>
      <c r="FJ5" s="1" t="s">
        <v>3379</v>
      </c>
      <c r="FK5" s="1" t="s">
        <v>3379</v>
      </c>
      <c r="FL5" s="1" t="s">
        <v>3379</v>
      </c>
      <c r="FM5" s="1" t="s">
        <v>3379</v>
      </c>
      <c r="FN5" s="1" t="s">
        <v>3379</v>
      </c>
      <c r="FO5" s="1" t="s">
        <v>3379</v>
      </c>
      <c r="FP5" s="1" t="s">
        <v>3379</v>
      </c>
      <c r="FQ5" s="1" t="s">
        <v>3379</v>
      </c>
      <c r="FR5" s="1" t="s">
        <v>3379</v>
      </c>
      <c r="FS5" s="1" t="s">
        <v>3379</v>
      </c>
      <c r="FT5" s="1" t="s">
        <v>3379</v>
      </c>
      <c r="FU5" s="1" t="s">
        <v>3379</v>
      </c>
      <c r="FV5" s="1" t="s">
        <v>3379</v>
      </c>
      <c r="FW5" s="1" t="s">
        <v>3379</v>
      </c>
      <c r="FX5" s="1" t="s">
        <v>3379</v>
      </c>
      <c r="FY5" s="1" t="s">
        <v>3379</v>
      </c>
      <c r="FZ5" s="1" t="s">
        <v>3379</v>
      </c>
      <c r="GA5" s="1" t="s">
        <v>3379</v>
      </c>
      <c r="GB5" s="1" t="s">
        <v>3379</v>
      </c>
      <c r="GC5" s="1" t="s">
        <v>3379</v>
      </c>
      <c r="GD5" s="1" t="s">
        <v>3379</v>
      </c>
      <c r="GE5" s="1" t="s">
        <v>3379</v>
      </c>
      <c r="GF5" s="1" t="s">
        <v>3379</v>
      </c>
      <c r="GG5" s="1" t="s">
        <v>3379</v>
      </c>
      <c r="GH5" s="1" t="s">
        <v>3498</v>
      </c>
      <c r="GI5" s="1" t="s">
        <v>3498</v>
      </c>
      <c r="GJ5" s="1" t="s">
        <v>3498</v>
      </c>
      <c r="GK5" s="1" t="s">
        <v>3498</v>
      </c>
      <c r="GL5" s="1" t="s">
        <v>3498</v>
      </c>
      <c r="GM5" s="1" t="s">
        <v>3498</v>
      </c>
      <c r="GN5" s="1" t="s">
        <v>3498</v>
      </c>
      <c r="GO5" s="1" t="s">
        <v>3498</v>
      </c>
      <c r="GP5" s="1" t="s">
        <v>3498</v>
      </c>
      <c r="GQ5" s="1" t="s">
        <v>3498</v>
      </c>
      <c r="GR5" s="1" t="s">
        <v>3498</v>
      </c>
      <c r="GS5" s="1" t="s">
        <v>3498</v>
      </c>
      <c r="GT5" s="1" t="s">
        <v>3498</v>
      </c>
      <c r="GU5" s="1" t="s">
        <v>3498</v>
      </c>
      <c r="GV5" s="1" t="s">
        <v>3498</v>
      </c>
      <c r="GW5" s="1" t="s">
        <v>3498</v>
      </c>
      <c r="GX5" s="1" t="s">
        <v>3498</v>
      </c>
      <c r="GY5" s="1" t="s">
        <v>3498</v>
      </c>
      <c r="GZ5" s="1" t="s">
        <v>3498</v>
      </c>
      <c r="HA5" s="1" t="s">
        <v>3498</v>
      </c>
      <c r="HB5" s="1" t="s">
        <v>3498</v>
      </c>
      <c r="HC5" s="1" t="s">
        <v>3498</v>
      </c>
      <c r="HD5" s="1" t="s">
        <v>3498</v>
      </c>
      <c r="HE5" s="1" t="s">
        <v>3498</v>
      </c>
      <c r="HF5" s="1" t="s">
        <v>3498</v>
      </c>
      <c r="HG5" s="1" t="s">
        <v>3498</v>
      </c>
      <c r="HH5" s="1" t="s">
        <v>3498</v>
      </c>
      <c r="HI5" s="1" t="s">
        <v>3498</v>
      </c>
      <c r="HJ5" s="1" t="s">
        <v>3498</v>
      </c>
      <c r="HK5" s="1" t="s">
        <v>3498</v>
      </c>
      <c r="HL5" s="1" t="s">
        <v>3498</v>
      </c>
      <c r="HM5" s="1" t="s">
        <v>3498</v>
      </c>
      <c r="HN5" s="1" t="s">
        <v>3498</v>
      </c>
      <c r="HO5" s="1" t="s">
        <v>3498</v>
      </c>
      <c r="HP5" s="1" t="s">
        <v>3498</v>
      </c>
      <c r="HQ5" s="1" t="s">
        <v>3498</v>
      </c>
      <c r="HR5" s="1" t="s">
        <v>3498</v>
      </c>
      <c r="HS5" s="1" t="s">
        <v>3498</v>
      </c>
      <c r="HT5" s="1" t="s">
        <v>3498</v>
      </c>
      <c r="HU5" s="1" t="s">
        <v>3498</v>
      </c>
      <c r="HV5" s="1" t="s">
        <v>3498</v>
      </c>
      <c r="HW5" s="1" t="s">
        <v>3498</v>
      </c>
      <c r="HX5" s="1" t="s">
        <v>3498</v>
      </c>
      <c r="HY5" s="1" t="s">
        <v>3498</v>
      </c>
      <c r="HZ5" s="1" t="s">
        <v>3498</v>
      </c>
      <c r="IA5" s="1" t="s">
        <v>3498</v>
      </c>
      <c r="IB5" s="1" t="s">
        <v>3498</v>
      </c>
      <c r="IC5" s="1" t="s">
        <v>3498</v>
      </c>
      <c r="ID5" s="1" t="s">
        <v>3498</v>
      </c>
      <c r="IE5" s="1" t="s">
        <v>3498</v>
      </c>
      <c r="IF5" s="1" t="s">
        <v>3498</v>
      </c>
      <c r="IG5" s="1" t="s">
        <v>3498</v>
      </c>
      <c r="IH5" s="1" t="s">
        <v>3498</v>
      </c>
      <c r="II5" s="1" t="s">
        <v>3498</v>
      </c>
      <c r="IJ5" s="1" t="s">
        <v>3498</v>
      </c>
      <c r="IK5" s="1" t="s">
        <v>3498</v>
      </c>
      <c r="IL5" s="1" t="s">
        <v>3498</v>
      </c>
      <c r="IM5" s="1" t="s">
        <v>3498</v>
      </c>
      <c r="IN5" s="1" t="s">
        <v>3498</v>
      </c>
      <c r="IO5" s="1" t="s">
        <v>3498</v>
      </c>
      <c r="IP5" s="1" t="s">
        <v>3498</v>
      </c>
      <c r="IQ5" s="1" t="s">
        <v>3498</v>
      </c>
      <c r="IR5" s="1" t="s">
        <v>3498</v>
      </c>
      <c r="IS5" s="1" t="s">
        <v>3498</v>
      </c>
      <c r="IT5" s="1" t="s">
        <v>3498</v>
      </c>
      <c r="IU5" s="1" t="s">
        <v>3498</v>
      </c>
      <c r="IV5" s="1" t="s">
        <v>3498</v>
      </c>
      <c r="IW5" s="1" t="s">
        <v>3498</v>
      </c>
      <c r="IX5" s="1" t="s">
        <v>3498</v>
      </c>
      <c r="IY5" s="1" t="s">
        <v>3498</v>
      </c>
      <c r="IZ5" s="1" t="s">
        <v>3498</v>
      </c>
      <c r="JA5" s="1" t="s">
        <v>3498</v>
      </c>
      <c r="JB5" s="1" t="s">
        <v>3498</v>
      </c>
      <c r="JC5" s="1" t="s">
        <v>3498</v>
      </c>
      <c r="JD5" s="1" t="s">
        <v>3498</v>
      </c>
      <c r="JE5" s="1" t="s">
        <v>3498</v>
      </c>
      <c r="JF5" s="1" t="s">
        <v>3498</v>
      </c>
      <c r="JG5" s="1" t="s">
        <v>3498</v>
      </c>
      <c r="JH5" s="1" t="s">
        <v>3498</v>
      </c>
      <c r="JI5" s="1" t="s">
        <v>3498</v>
      </c>
      <c r="JJ5" s="1" t="s">
        <v>3498</v>
      </c>
      <c r="JK5" s="1" t="s">
        <v>3498</v>
      </c>
      <c r="JL5" s="1" t="s">
        <v>3498</v>
      </c>
      <c r="JM5" s="1" t="s">
        <v>3498</v>
      </c>
      <c r="JN5" s="1" t="s">
        <v>3498</v>
      </c>
      <c r="JO5" s="1" t="s">
        <v>3498</v>
      </c>
      <c r="JP5" s="1" t="s">
        <v>3498</v>
      </c>
    </row>
    <row r="6" spans="1:276" s="33" customFormat="1" ht="14" customHeight="1">
      <c r="A6" s="33" t="s">
        <v>560</v>
      </c>
      <c r="E6" s="33">
        <v>1961</v>
      </c>
      <c r="F6" s="33">
        <v>1962</v>
      </c>
      <c r="G6" s="33">
        <v>1963</v>
      </c>
      <c r="H6" s="33">
        <v>1964</v>
      </c>
      <c r="I6" s="33">
        <v>1965</v>
      </c>
      <c r="J6" s="33">
        <v>1966</v>
      </c>
      <c r="K6" s="33">
        <v>1967</v>
      </c>
      <c r="L6" s="33">
        <v>1968</v>
      </c>
      <c r="M6" s="33">
        <v>1969</v>
      </c>
      <c r="N6" s="33">
        <v>1970</v>
      </c>
      <c r="O6" s="33">
        <v>1971</v>
      </c>
      <c r="P6" s="33">
        <v>1972</v>
      </c>
      <c r="Q6" s="33">
        <v>1973</v>
      </c>
      <c r="R6" s="33">
        <v>1974</v>
      </c>
      <c r="S6" s="33">
        <v>1975</v>
      </c>
      <c r="T6" s="33">
        <v>1976</v>
      </c>
      <c r="U6" s="33">
        <v>1977</v>
      </c>
      <c r="V6" s="33">
        <v>1978</v>
      </c>
      <c r="W6" s="33">
        <v>1979</v>
      </c>
      <c r="X6" s="33">
        <v>1980</v>
      </c>
      <c r="Y6" s="33">
        <v>1981</v>
      </c>
      <c r="Z6" s="33">
        <v>1982</v>
      </c>
      <c r="AA6" s="33">
        <v>1983</v>
      </c>
      <c r="AB6" s="33">
        <v>1984</v>
      </c>
      <c r="AC6" s="33">
        <v>1985</v>
      </c>
      <c r="AD6" s="33">
        <v>1986</v>
      </c>
      <c r="AE6" s="33">
        <v>1987</v>
      </c>
      <c r="AF6" s="33">
        <v>1988</v>
      </c>
      <c r="AG6" s="33">
        <v>1989</v>
      </c>
      <c r="AH6" s="33">
        <v>1990</v>
      </c>
      <c r="AI6" s="33">
        <v>1991</v>
      </c>
      <c r="AJ6" s="33">
        <v>1992</v>
      </c>
      <c r="AK6" s="33">
        <v>1993</v>
      </c>
      <c r="AL6" s="33">
        <v>1994</v>
      </c>
      <c r="AM6" s="33">
        <v>1995</v>
      </c>
      <c r="AN6" s="33">
        <v>1996</v>
      </c>
      <c r="AO6" s="33">
        <v>1997</v>
      </c>
      <c r="AP6" s="33">
        <v>1998</v>
      </c>
      <c r="AQ6" s="33">
        <v>1999</v>
      </c>
      <c r="AR6" s="33">
        <v>2000</v>
      </c>
      <c r="AS6" s="33" t="s">
        <v>751</v>
      </c>
      <c r="AT6" s="33" t="s">
        <v>1359</v>
      </c>
      <c r="AU6" s="33">
        <v>1971</v>
      </c>
      <c r="AV6" s="33">
        <v>1972</v>
      </c>
      <c r="AW6" s="33">
        <v>1973</v>
      </c>
      <c r="AX6" s="33">
        <v>1974</v>
      </c>
      <c r="AY6" s="33">
        <v>1975</v>
      </c>
      <c r="AZ6" s="33">
        <v>1976</v>
      </c>
      <c r="BA6" s="33">
        <v>1977</v>
      </c>
      <c r="BB6" s="33">
        <v>1978</v>
      </c>
      <c r="BC6" s="33">
        <v>1979</v>
      </c>
      <c r="BD6" s="33">
        <v>1980</v>
      </c>
      <c r="BE6" s="33">
        <v>1981</v>
      </c>
      <c r="BF6" s="33">
        <v>1982</v>
      </c>
      <c r="BG6" s="33">
        <v>1983</v>
      </c>
      <c r="BH6" s="33">
        <v>1984</v>
      </c>
      <c r="BI6" s="33">
        <v>1985</v>
      </c>
      <c r="BJ6" s="33">
        <v>1986</v>
      </c>
      <c r="BK6" s="33">
        <v>1987</v>
      </c>
      <c r="BL6" s="33">
        <v>1988</v>
      </c>
      <c r="BM6" s="33">
        <v>1989</v>
      </c>
      <c r="BN6" s="33">
        <v>1990</v>
      </c>
      <c r="BO6" s="33">
        <v>1991</v>
      </c>
      <c r="BP6" s="33">
        <v>1992</v>
      </c>
      <c r="BQ6" s="33">
        <v>1993</v>
      </c>
      <c r="BR6" s="33">
        <v>1994</v>
      </c>
      <c r="BS6" s="33">
        <v>1995</v>
      </c>
      <c r="BT6" s="33">
        <v>1996</v>
      </c>
      <c r="BU6" s="33">
        <v>1997</v>
      </c>
      <c r="BV6" s="33">
        <v>1998</v>
      </c>
      <c r="BW6" s="33">
        <v>1999</v>
      </c>
      <c r="BX6" s="33">
        <v>2000</v>
      </c>
      <c r="BY6" s="33" t="s">
        <v>751</v>
      </c>
      <c r="BZ6" s="33" t="s">
        <v>1360</v>
      </c>
      <c r="CA6" s="33" t="s">
        <v>1361</v>
      </c>
      <c r="CB6" s="33" t="s">
        <v>1260</v>
      </c>
      <c r="CC6" s="33" t="s">
        <v>1096</v>
      </c>
      <c r="CD6" s="33">
        <v>1976</v>
      </c>
      <c r="CE6" s="33">
        <v>1977</v>
      </c>
      <c r="CF6" s="33">
        <v>1978</v>
      </c>
      <c r="CG6" s="33">
        <v>1979</v>
      </c>
      <c r="CH6" s="33">
        <v>1980</v>
      </c>
      <c r="CI6" s="33">
        <v>1981</v>
      </c>
      <c r="CJ6" s="33">
        <v>1982</v>
      </c>
      <c r="CK6" s="33">
        <v>1983</v>
      </c>
      <c r="CL6" s="33">
        <v>1984</v>
      </c>
      <c r="CM6" s="33">
        <v>1985</v>
      </c>
      <c r="CN6" s="33">
        <v>1986</v>
      </c>
      <c r="CO6" s="33">
        <v>1987</v>
      </c>
      <c r="CP6" s="33">
        <v>1988</v>
      </c>
      <c r="CQ6" s="33">
        <v>1989</v>
      </c>
      <c r="CR6" s="33">
        <v>1990</v>
      </c>
      <c r="CS6" s="33">
        <v>1991</v>
      </c>
      <c r="CT6" s="33">
        <v>1992</v>
      </c>
      <c r="CU6" s="33">
        <v>1993</v>
      </c>
      <c r="CV6" s="33">
        <v>1994</v>
      </c>
      <c r="CW6" s="33">
        <v>1995</v>
      </c>
      <c r="CX6" s="33">
        <v>1996</v>
      </c>
      <c r="CY6" s="33">
        <v>1997</v>
      </c>
      <c r="CZ6" s="33">
        <v>1998</v>
      </c>
      <c r="DA6" s="33">
        <v>1999</v>
      </c>
      <c r="DB6" s="33">
        <v>2000</v>
      </c>
      <c r="DC6" s="33">
        <v>2001</v>
      </c>
      <c r="DD6" s="33">
        <v>2002</v>
      </c>
      <c r="DE6" s="33">
        <v>2003</v>
      </c>
      <c r="DF6" s="33">
        <v>2004</v>
      </c>
      <c r="DG6" s="33">
        <v>1993</v>
      </c>
      <c r="DH6" s="33">
        <v>1994</v>
      </c>
      <c r="DI6" s="33">
        <v>1995</v>
      </c>
      <c r="DJ6" s="33">
        <v>1996</v>
      </c>
      <c r="DK6" s="33">
        <v>1997</v>
      </c>
      <c r="DL6" s="33">
        <v>1998</v>
      </c>
      <c r="DM6" s="33">
        <v>1999</v>
      </c>
      <c r="DN6" s="33">
        <v>2000</v>
      </c>
      <c r="DO6" s="33" t="s">
        <v>751</v>
      </c>
      <c r="DP6" s="33" t="s">
        <v>1360</v>
      </c>
      <c r="DQ6" s="33" t="s">
        <v>1361</v>
      </c>
      <c r="DR6" s="33" t="s">
        <v>1260</v>
      </c>
      <c r="DS6" s="33" t="s">
        <v>1096</v>
      </c>
      <c r="DT6" s="33">
        <v>1993</v>
      </c>
      <c r="DU6" s="33">
        <v>1994</v>
      </c>
      <c r="DV6" s="33">
        <v>1995</v>
      </c>
      <c r="DW6" s="33">
        <v>1996</v>
      </c>
      <c r="DX6" s="33">
        <v>1997</v>
      </c>
      <c r="DY6" s="33">
        <v>1998</v>
      </c>
      <c r="DZ6" s="33">
        <v>1999</v>
      </c>
      <c r="EA6" s="33">
        <v>2000</v>
      </c>
      <c r="EB6" s="33">
        <v>2001</v>
      </c>
      <c r="EC6" s="33">
        <v>2002</v>
      </c>
      <c r="ED6" s="33">
        <v>2003</v>
      </c>
      <c r="EE6" s="33">
        <v>2004</v>
      </c>
      <c r="EF6" s="33">
        <v>2005</v>
      </c>
      <c r="EG6" s="33">
        <v>1959</v>
      </c>
      <c r="EH6" s="33">
        <v>1970</v>
      </c>
      <c r="EI6" s="33">
        <v>1980</v>
      </c>
      <c r="EJ6" s="33">
        <v>1970</v>
      </c>
      <c r="EK6" s="33">
        <v>1979</v>
      </c>
      <c r="EL6" s="33">
        <v>1995</v>
      </c>
      <c r="EM6" s="33">
        <v>1996</v>
      </c>
      <c r="EN6" s="33">
        <v>1998</v>
      </c>
      <c r="EO6" s="33">
        <v>1970</v>
      </c>
      <c r="EP6" s="33">
        <v>1971</v>
      </c>
      <c r="EQ6" s="33">
        <v>1972</v>
      </c>
      <c r="ER6" s="33">
        <v>1973</v>
      </c>
      <c r="ES6" s="33">
        <v>1974</v>
      </c>
      <c r="ET6" s="33">
        <v>1975</v>
      </c>
      <c r="EU6" s="33">
        <v>1976</v>
      </c>
      <c r="EV6" s="33">
        <v>1977</v>
      </c>
      <c r="EW6" s="33">
        <v>1978</v>
      </c>
      <c r="EX6" s="33">
        <v>1979</v>
      </c>
      <c r="EY6" s="33">
        <v>1980</v>
      </c>
      <c r="EZ6" s="33">
        <v>1981</v>
      </c>
      <c r="FA6" s="33">
        <v>1982</v>
      </c>
      <c r="FB6" s="33">
        <v>1983</v>
      </c>
      <c r="FC6" s="33">
        <v>1984</v>
      </c>
      <c r="FD6" s="33">
        <v>1985</v>
      </c>
      <c r="FE6" s="33">
        <v>1986</v>
      </c>
      <c r="FF6" s="33">
        <v>1987</v>
      </c>
      <c r="FG6" s="33">
        <v>1988</v>
      </c>
      <c r="FH6" s="33">
        <v>1989</v>
      </c>
      <c r="FI6" s="33">
        <v>1990</v>
      </c>
      <c r="FJ6" s="33">
        <v>1991</v>
      </c>
      <c r="FK6" s="33">
        <v>1992</v>
      </c>
      <c r="FL6" s="33">
        <v>1993</v>
      </c>
      <c r="FM6" s="33">
        <v>1994</v>
      </c>
      <c r="FN6" s="33">
        <v>1995</v>
      </c>
      <c r="FO6" s="33">
        <v>1996</v>
      </c>
      <c r="FP6" s="33">
        <v>1997</v>
      </c>
      <c r="FQ6" s="33">
        <v>1998</v>
      </c>
      <c r="FR6" s="33">
        <v>1999</v>
      </c>
      <c r="FS6" s="33">
        <v>2000</v>
      </c>
      <c r="FT6" s="33">
        <v>2001</v>
      </c>
      <c r="FU6" s="33">
        <v>2002</v>
      </c>
      <c r="FV6" s="33">
        <v>2003</v>
      </c>
      <c r="FW6" s="33">
        <v>2004</v>
      </c>
      <c r="FX6" s="33">
        <v>2005</v>
      </c>
      <c r="FY6" s="33">
        <v>2006</v>
      </c>
      <c r="FZ6" s="33">
        <v>2007</v>
      </c>
      <c r="GA6" s="33">
        <v>2008</v>
      </c>
      <c r="GB6" s="33">
        <v>2009</v>
      </c>
      <c r="GC6" s="33">
        <v>2010</v>
      </c>
      <c r="GD6" s="33">
        <v>2011</v>
      </c>
      <c r="GE6" s="33">
        <v>2012</v>
      </c>
      <c r="GF6" s="33">
        <v>2013</v>
      </c>
      <c r="GG6" s="2">
        <v>1970</v>
      </c>
      <c r="GH6" s="2">
        <v>1971</v>
      </c>
      <c r="GI6" s="2">
        <v>1972</v>
      </c>
      <c r="GJ6" s="2">
        <v>1973</v>
      </c>
      <c r="GK6" s="2">
        <v>1974</v>
      </c>
      <c r="GL6" s="2">
        <v>1975</v>
      </c>
      <c r="GM6" s="2">
        <v>1976</v>
      </c>
      <c r="GN6" s="2">
        <v>1977</v>
      </c>
      <c r="GO6" s="2">
        <v>1978</v>
      </c>
      <c r="GP6" s="2">
        <v>1979</v>
      </c>
      <c r="GQ6" s="2">
        <v>1980</v>
      </c>
      <c r="GR6" s="2">
        <v>1981</v>
      </c>
      <c r="GS6" s="2">
        <v>1982</v>
      </c>
      <c r="GT6" s="2">
        <v>1983</v>
      </c>
      <c r="GU6" s="2">
        <v>1984</v>
      </c>
      <c r="GV6" s="2">
        <v>1985</v>
      </c>
      <c r="GW6" s="2">
        <v>1986</v>
      </c>
      <c r="GX6" s="2">
        <v>1987</v>
      </c>
      <c r="GY6" s="2">
        <v>1988</v>
      </c>
      <c r="GZ6" s="2">
        <v>1989</v>
      </c>
      <c r="HA6" s="2">
        <v>1990</v>
      </c>
      <c r="HB6" s="2">
        <v>1991</v>
      </c>
      <c r="HC6" s="2">
        <v>1992</v>
      </c>
      <c r="HD6" s="2">
        <v>1993</v>
      </c>
      <c r="HE6" s="2">
        <v>1994</v>
      </c>
      <c r="HF6" s="2">
        <v>1995</v>
      </c>
      <c r="HG6" s="2">
        <v>1996</v>
      </c>
      <c r="HH6" s="2">
        <v>1997</v>
      </c>
      <c r="HI6" s="2">
        <v>1998</v>
      </c>
      <c r="HJ6" s="2">
        <v>1999</v>
      </c>
      <c r="HK6" s="2">
        <v>2000</v>
      </c>
      <c r="HL6" s="2">
        <v>2001</v>
      </c>
      <c r="HM6" s="2">
        <v>2002</v>
      </c>
      <c r="HN6" s="2">
        <v>2003</v>
      </c>
      <c r="HO6" s="2">
        <v>2004</v>
      </c>
      <c r="HP6" s="2">
        <v>2005</v>
      </c>
      <c r="HQ6" s="2">
        <v>2006</v>
      </c>
      <c r="HR6" s="2">
        <v>2007</v>
      </c>
      <c r="HS6" s="2">
        <v>2008</v>
      </c>
      <c r="HT6" s="2">
        <v>2009</v>
      </c>
      <c r="HU6" s="2">
        <v>2010</v>
      </c>
      <c r="HV6" s="2">
        <v>2011</v>
      </c>
      <c r="HW6" s="2">
        <v>2012</v>
      </c>
      <c r="HX6" s="2">
        <v>2013</v>
      </c>
      <c r="HY6" s="2">
        <v>1970</v>
      </c>
      <c r="HZ6" s="2">
        <v>1971</v>
      </c>
      <c r="IA6" s="2">
        <v>1972</v>
      </c>
      <c r="IB6" s="2">
        <v>1973</v>
      </c>
      <c r="IC6" s="2">
        <v>1974</v>
      </c>
      <c r="ID6" s="2">
        <v>1975</v>
      </c>
      <c r="IE6" s="2">
        <v>1976</v>
      </c>
      <c r="IF6" s="2">
        <v>1977</v>
      </c>
      <c r="IG6" s="2">
        <v>1978</v>
      </c>
      <c r="IH6" s="2">
        <v>1979</v>
      </c>
      <c r="II6" s="2">
        <v>1980</v>
      </c>
      <c r="IJ6" s="2">
        <v>1981</v>
      </c>
      <c r="IK6" s="2">
        <v>1982</v>
      </c>
      <c r="IL6" s="2">
        <v>1983</v>
      </c>
      <c r="IM6" s="2">
        <v>1984</v>
      </c>
      <c r="IN6" s="2">
        <v>1985</v>
      </c>
      <c r="IO6" s="2">
        <v>1986</v>
      </c>
      <c r="IP6" s="2">
        <v>1987</v>
      </c>
      <c r="IQ6" s="2">
        <v>1988</v>
      </c>
      <c r="IR6" s="2">
        <v>1989</v>
      </c>
      <c r="IS6" s="2">
        <v>1990</v>
      </c>
      <c r="IT6" s="2">
        <v>1991</v>
      </c>
      <c r="IU6" s="2">
        <v>1992</v>
      </c>
      <c r="IV6" s="2">
        <v>1993</v>
      </c>
      <c r="IW6" s="2">
        <v>1994</v>
      </c>
      <c r="IX6" s="2">
        <v>1995</v>
      </c>
      <c r="IY6" s="2">
        <v>1996</v>
      </c>
      <c r="IZ6" s="2">
        <v>1997</v>
      </c>
      <c r="JA6" s="2">
        <v>1998</v>
      </c>
      <c r="JB6" s="2">
        <v>1999</v>
      </c>
      <c r="JC6" s="2">
        <v>2000</v>
      </c>
      <c r="JD6" s="2">
        <v>2001</v>
      </c>
      <c r="JE6" s="2">
        <v>2002</v>
      </c>
      <c r="JF6" s="2">
        <v>2003</v>
      </c>
      <c r="JG6" s="2">
        <v>2004</v>
      </c>
      <c r="JH6" s="2">
        <v>2005</v>
      </c>
      <c r="JI6" s="2">
        <v>2006</v>
      </c>
      <c r="JJ6" s="2">
        <v>2007</v>
      </c>
      <c r="JK6" s="2">
        <v>2008</v>
      </c>
      <c r="JL6" s="2">
        <v>2009</v>
      </c>
      <c r="JM6" s="2">
        <v>2010</v>
      </c>
      <c r="JN6" s="2">
        <v>2011</v>
      </c>
      <c r="JO6" s="2">
        <v>2012</v>
      </c>
      <c r="JP6" s="2">
        <v>2013</v>
      </c>
    </row>
    <row r="7" spans="1:276" s="2" customFormat="1" ht="132">
      <c r="A7" s="2" t="s">
        <v>3334</v>
      </c>
      <c r="E7" s="2" t="s">
        <v>702</v>
      </c>
      <c r="F7" s="2" t="s">
        <v>464</v>
      </c>
      <c r="G7" s="2" t="s">
        <v>522</v>
      </c>
      <c r="H7" s="2" t="s">
        <v>679</v>
      </c>
      <c r="I7" s="2" t="s">
        <v>636</v>
      </c>
      <c r="J7" s="2" t="s">
        <v>467</v>
      </c>
      <c r="K7" s="2" t="s">
        <v>391</v>
      </c>
      <c r="L7" s="2" t="s">
        <v>544</v>
      </c>
      <c r="M7" s="2" t="s">
        <v>545</v>
      </c>
      <c r="N7" s="2" t="s">
        <v>2579</v>
      </c>
      <c r="O7" s="2" t="s">
        <v>546</v>
      </c>
      <c r="P7" s="2" t="s">
        <v>547</v>
      </c>
      <c r="Q7" s="2" t="s">
        <v>548</v>
      </c>
      <c r="R7" s="2" t="s">
        <v>449</v>
      </c>
      <c r="S7" s="2" t="s">
        <v>366</v>
      </c>
      <c r="T7" s="2" t="s">
        <v>497</v>
      </c>
      <c r="U7" s="2" t="s">
        <v>557</v>
      </c>
      <c r="V7" s="2" t="s">
        <v>688</v>
      </c>
      <c r="W7" s="2" t="s">
        <v>689</v>
      </c>
      <c r="X7" s="2" t="s">
        <v>2580</v>
      </c>
      <c r="Y7" s="2" t="s">
        <v>591</v>
      </c>
      <c r="Z7" s="2" t="s">
        <v>592</v>
      </c>
      <c r="AA7" s="2" t="s">
        <v>593</v>
      </c>
      <c r="AB7" s="2" t="s">
        <v>525</v>
      </c>
      <c r="AC7" s="2" t="s">
        <v>602</v>
      </c>
      <c r="AD7" s="2" t="s">
        <v>535</v>
      </c>
      <c r="AE7" s="2" t="s">
        <v>461</v>
      </c>
      <c r="AF7" s="2" t="s">
        <v>462</v>
      </c>
      <c r="AG7" s="2" t="s">
        <v>491</v>
      </c>
      <c r="AH7" s="2" t="s">
        <v>437</v>
      </c>
      <c r="AI7" s="2" t="s">
        <v>807</v>
      </c>
      <c r="AJ7" s="2" t="s">
        <v>672</v>
      </c>
      <c r="AK7" s="2" t="s">
        <v>438</v>
      </c>
      <c r="AL7" s="2" t="s">
        <v>439</v>
      </c>
      <c r="AM7" s="2" t="s">
        <v>692</v>
      </c>
      <c r="AN7" s="2" t="s">
        <v>517</v>
      </c>
      <c r="AO7" s="2" t="s">
        <v>600</v>
      </c>
      <c r="AP7" s="2" t="s">
        <v>385</v>
      </c>
      <c r="AQ7" s="2" t="s">
        <v>367</v>
      </c>
      <c r="AR7" s="2" t="s">
        <v>452</v>
      </c>
      <c r="AS7" s="2" t="s">
        <v>527</v>
      </c>
      <c r="AT7" s="2" t="s">
        <v>303</v>
      </c>
      <c r="AU7" s="2" t="s">
        <v>268</v>
      </c>
      <c r="AV7" s="2" t="s">
        <v>304</v>
      </c>
      <c r="AW7" s="2" t="s">
        <v>305</v>
      </c>
      <c r="AX7" s="2" t="s">
        <v>373</v>
      </c>
      <c r="AY7" s="2" t="s">
        <v>307</v>
      </c>
      <c r="AZ7" s="2" t="s">
        <v>245</v>
      </c>
      <c r="BA7" s="2" t="s">
        <v>433</v>
      </c>
      <c r="BB7" s="2" t="s">
        <v>298</v>
      </c>
      <c r="BC7" s="2" t="s">
        <v>253</v>
      </c>
      <c r="BD7" s="2" t="s">
        <v>301</v>
      </c>
      <c r="BE7" s="2" t="s">
        <v>287</v>
      </c>
      <c r="BF7" s="2" t="s">
        <v>146</v>
      </c>
      <c r="BG7" s="2" t="s">
        <v>284</v>
      </c>
      <c r="BH7" s="2" t="s">
        <v>288</v>
      </c>
      <c r="BI7" s="2" t="s">
        <v>333</v>
      </c>
      <c r="BJ7" s="2" t="s">
        <v>212</v>
      </c>
      <c r="BK7" s="2" t="s">
        <v>228</v>
      </c>
      <c r="BL7" s="2" t="s">
        <v>2581</v>
      </c>
      <c r="BM7" s="2" t="s">
        <v>277</v>
      </c>
      <c r="BN7" s="2" t="s">
        <v>283</v>
      </c>
      <c r="BO7" s="2" t="s">
        <v>286</v>
      </c>
      <c r="BP7" s="2" t="s">
        <v>213</v>
      </c>
      <c r="BQ7" s="2" t="s">
        <v>199</v>
      </c>
      <c r="BR7" s="2" t="s">
        <v>229</v>
      </c>
      <c r="BS7" s="2" t="s">
        <v>234</v>
      </c>
      <c r="BT7" s="2" t="s">
        <v>306</v>
      </c>
      <c r="BU7" s="2" t="s">
        <v>235</v>
      </c>
      <c r="BV7" s="2" t="s">
        <v>191</v>
      </c>
      <c r="BW7" s="2" t="s">
        <v>192</v>
      </c>
      <c r="BX7" s="2" t="s">
        <v>193</v>
      </c>
      <c r="BY7" s="2" t="s">
        <v>227</v>
      </c>
      <c r="BZ7" s="2" t="s">
        <v>219</v>
      </c>
      <c r="CA7" s="2" t="s">
        <v>211</v>
      </c>
      <c r="CB7" s="2" t="s">
        <v>246</v>
      </c>
      <c r="CC7" s="2" t="s">
        <v>249</v>
      </c>
      <c r="CD7" s="2" t="s">
        <v>589</v>
      </c>
      <c r="CE7" s="2" t="s">
        <v>483</v>
      </c>
      <c r="CF7" s="2" t="s">
        <v>468</v>
      </c>
      <c r="CG7" s="2" t="s">
        <v>469</v>
      </c>
      <c r="CH7" s="2" t="s">
        <v>526</v>
      </c>
      <c r="CI7" s="2" t="s">
        <v>635</v>
      </c>
      <c r="CJ7" s="2" t="s">
        <v>471</v>
      </c>
      <c r="CK7" s="2" t="s">
        <v>507</v>
      </c>
      <c r="CL7" s="2" t="s">
        <v>454</v>
      </c>
      <c r="CM7" s="2" t="s">
        <v>492</v>
      </c>
      <c r="CN7" s="2" t="s">
        <v>434</v>
      </c>
      <c r="CO7" s="2" t="s">
        <v>2582</v>
      </c>
      <c r="CP7" s="2" t="s">
        <v>486</v>
      </c>
      <c r="CQ7" s="2" t="s">
        <v>394</v>
      </c>
      <c r="CR7" s="2" t="s">
        <v>484</v>
      </c>
      <c r="CS7" s="2" t="s">
        <v>524</v>
      </c>
      <c r="CT7" s="2" t="s">
        <v>511</v>
      </c>
      <c r="CU7" s="2" t="s">
        <v>504</v>
      </c>
      <c r="CV7" s="2" t="s">
        <v>502</v>
      </c>
      <c r="CW7" s="2" t="s">
        <v>588</v>
      </c>
      <c r="CX7" s="2" t="s">
        <v>505</v>
      </c>
      <c r="CY7" s="2" t="s">
        <v>506</v>
      </c>
      <c r="CZ7" s="2" t="s">
        <v>368</v>
      </c>
      <c r="DA7" s="2" t="s">
        <v>456</v>
      </c>
      <c r="DB7" s="2" t="s">
        <v>386</v>
      </c>
      <c r="DC7" s="2" t="s">
        <v>299</v>
      </c>
      <c r="DD7" s="2" t="s">
        <v>300</v>
      </c>
      <c r="DE7" s="2" t="s">
        <v>372</v>
      </c>
      <c r="DF7" s="2" t="s">
        <v>319</v>
      </c>
      <c r="DG7" s="2" t="s">
        <v>415</v>
      </c>
      <c r="DH7" s="2" t="s">
        <v>278</v>
      </c>
      <c r="DI7" s="2" t="s">
        <v>321</v>
      </c>
      <c r="DJ7" s="2" t="s">
        <v>384</v>
      </c>
      <c r="DK7" s="2" t="s">
        <v>279</v>
      </c>
      <c r="DL7" s="2" t="s">
        <v>320</v>
      </c>
      <c r="DM7" s="2" t="s">
        <v>322</v>
      </c>
      <c r="DN7" s="2" t="s">
        <v>323</v>
      </c>
      <c r="DO7" s="2" t="s">
        <v>327</v>
      </c>
      <c r="DP7" s="2" t="s">
        <v>275</v>
      </c>
      <c r="DQ7" s="2" t="s">
        <v>276</v>
      </c>
      <c r="DR7" s="2" t="s">
        <v>453</v>
      </c>
      <c r="DS7" s="2" t="s">
        <v>312</v>
      </c>
      <c r="DT7" s="2" t="s">
        <v>933</v>
      </c>
      <c r="DU7" s="2" t="s">
        <v>760</v>
      </c>
      <c r="DV7" s="2" t="s">
        <v>761</v>
      </c>
      <c r="DW7" s="2" t="s">
        <v>854</v>
      </c>
      <c r="DX7" s="2" t="s">
        <v>895</v>
      </c>
      <c r="DY7" s="2" t="s">
        <v>707</v>
      </c>
      <c r="DZ7" s="2" t="s">
        <v>742</v>
      </c>
      <c r="EA7" s="2" t="s">
        <v>732</v>
      </c>
      <c r="EB7" s="2" t="s">
        <v>838</v>
      </c>
      <c r="EC7" s="2" t="s">
        <v>835</v>
      </c>
      <c r="ED7" s="2" t="s">
        <v>840</v>
      </c>
      <c r="EE7" s="2" t="s">
        <v>769</v>
      </c>
      <c r="EF7" s="2" t="s">
        <v>799</v>
      </c>
      <c r="EG7" s="2" t="s">
        <v>842</v>
      </c>
      <c r="EH7" s="2" t="s">
        <v>552</v>
      </c>
      <c r="EI7" s="2" t="s">
        <v>993</v>
      </c>
      <c r="EJ7" s="2" t="s">
        <v>675</v>
      </c>
      <c r="EK7" s="2" t="s">
        <v>880</v>
      </c>
      <c r="EL7" s="2" t="s">
        <v>893</v>
      </c>
      <c r="EM7" s="2" t="s">
        <v>617</v>
      </c>
      <c r="EN7" s="2" t="s">
        <v>845</v>
      </c>
      <c r="EO7" s="2" t="s">
        <v>3424</v>
      </c>
      <c r="EP7" s="2" t="s">
        <v>3425</v>
      </c>
      <c r="EQ7" s="2" t="s">
        <v>3426</v>
      </c>
      <c r="ER7" s="2" t="s">
        <v>3427</v>
      </c>
      <c r="ES7" s="2" t="s">
        <v>3428</v>
      </c>
      <c r="ET7" s="2" t="s">
        <v>3429</v>
      </c>
      <c r="EU7" s="2" t="s">
        <v>3430</v>
      </c>
      <c r="EV7" s="2" t="s">
        <v>3431</v>
      </c>
      <c r="EW7" s="2" t="s">
        <v>3432</v>
      </c>
      <c r="EX7" s="2" t="s">
        <v>3433</v>
      </c>
      <c r="EY7" s="2" t="s">
        <v>3434</v>
      </c>
      <c r="EZ7" s="2" t="s">
        <v>3435</v>
      </c>
      <c r="FA7" s="2" t="s">
        <v>3436</v>
      </c>
      <c r="FB7" s="2" t="s">
        <v>3437</v>
      </c>
      <c r="FC7" s="2" t="s">
        <v>3438</v>
      </c>
      <c r="FD7" s="2" t="s">
        <v>3439</v>
      </c>
      <c r="FE7" s="2" t="s">
        <v>3440</v>
      </c>
      <c r="FF7" s="2" t="s">
        <v>3441</v>
      </c>
      <c r="FG7" s="2" t="s">
        <v>3442</v>
      </c>
      <c r="FH7" s="2" t="s">
        <v>3443</v>
      </c>
      <c r="FI7" s="2" t="s">
        <v>3444</v>
      </c>
      <c r="FJ7" s="2" t="s">
        <v>3445</v>
      </c>
      <c r="FK7" s="2" t="s">
        <v>3446</v>
      </c>
      <c r="FL7" s="2" t="s">
        <v>3447</v>
      </c>
      <c r="FM7" s="2" t="s">
        <v>3448</v>
      </c>
      <c r="FN7" s="2" t="s">
        <v>3449</v>
      </c>
      <c r="FO7" s="2" t="s">
        <v>3450</v>
      </c>
      <c r="FP7" s="2" t="s">
        <v>3451</v>
      </c>
      <c r="FQ7" s="2" t="s">
        <v>3452</v>
      </c>
      <c r="FR7" s="2" t="s">
        <v>3453</v>
      </c>
      <c r="FS7" s="2" t="s">
        <v>3454</v>
      </c>
      <c r="FT7" s="2" t="s">
        <v>3455</v>
      </c>
      <c r="FU7" s="2" t="s">
        <v>3456</v>
      </c>
      <c r="FV7" s="2" t="s">
        <v>3457</v>
      </c>
      <c r="FW7" s="2" t="s">
        <v>3458</v>
      </c>
      <c r="FX7" s="2" t="s">
        <v>3459</v>
      </c>
      <c r="FY7" s="2" t="s">
        <v>3460</v>
      </c>
      <c r="FZ7" s="2" t="s">
        <v>3461</v>
      </c>
      <c r="GA7" s="2" t="s">
        <v>3462</v>
      </c>
      <c r="GB7" s="2" t="s">
        <v>3463</v>
      </c>
      <c r="GC7" s="2" t="s">
        <v>3464</v>
      </c>
      <c r="GD7" s="2" t="s">
        <v>3465</v>
      </c>
      <c r="GE7" s="2" t="s">
        <v>3466</v>
      </c>
      <c r="GF7" s="2" t="s">
        <v>3467</v>
      </c>
      <c r="GG7" s="2" t="s">
        <v>3497</v>
      </c>
      <c r="GH7" s="2" t="s">
        <v>3497</v>
      </c>
      <c r="GI7" s="2" t="s">
        <v>3497</v>
      </c>
      <c r="GJ7" s="2" t="s">
        <v>3497</v>
      </c>
      <c r="GK7" s="2" t="s">
        <v>3497</v>
      </c>
      <c r="GL7" s="2" t="s">
        <v>3497</v>
      </c>
      <c r="GM7" s="2" t="s">
        <v>3497</v>
      </c>
      <c r="GN7" s="2" t="s">
        <v>3497</v>
      </c>
      <c r="GO7" s="2" t="s">
        <v>3497</v>
      </c>
      <c r="GP7" s="2" t="s">
        <v>3497</v>
      </c>
      <c r="GQ7" s="2" t="s">
        <v>3497</v>
      </c>
      <c r="GR7" s="2" t="s">
        <v>3497</v>
      </c>
      <c r="GS7" s="2" t="s">
        <v>3497</v>
      </c>
      <c r="GT7" s="2" t="s">
        <v>3497</v>
      </c>
      <c r="GU7" s="2" t="s">
        <v>3497</v>
      </c>
      <c r="GV7" s="2" t="s">
        <v>3497</v>
      </c>
      <c r="GW7" s="2" t="s">
        <v>3497</v>
      </c>
      <c r="GX7" s="2" t="s">
        <v>3497</v>
      </c>
      <c r="GY7" s="2" t="s">
        <v>3497</v>
      </c>
      <c r="GZ7" s="2" t="s">
        <v>3497</v>
      </c>
      <c r="HA7" s="2" t="s">
        <v>3497</v>
      </c>
      <c r="HB7" s="2" t="s">
        <v>3497</v>
      </c>
      <c r="HC7" s="2" t="s">
        <v>3497</v>
      </c>
      <c r="HD7" s="2" t="s">
        <v>3497</v>
      </c>
      <c r="HE7" s="2" t="s">
        <v>3497</v>
      </c>
      <c r="HF7" s="2" t="s">
        <v>3497</v>
      </c>
      <c r="HG7" s="2" t="s">
        <v>3497</v>
      </c>
      <c r="HH7" s="2" t="s">
        <v>3497</v>
      </c>
      <c r="HI7" s="2" t="s">
        <v>3497</v>
      </c>
      <c r="HJ7" s="2" t="s">
        <v>3497</v>
      </c>
      <c r="HK7" s="2" t="s">
        <v>3497</v>
      </c>
      <c r="HL7" s="2" t="s">
        <v>3497</v>
      </c>
      <c r="HM7" s="2" t="s">
        <v>3497</v>
      </c>
      <c r="HN7" s="2" t="s">
        <v>3497</v>
      </c>
      <c r="HO7" s="2" t="s">
        <v>3497</v>
      </c>
      <c r="HP7" s="2" t="s">
        <v>3497</v>
      </c>
      <c r="HQ7" s="2" t="s">
        <v>3497</v>
      </c>
      <c r="HR7" s="2" t="s">
        <v>3497</v>
      </c>
      <c r="HS7" s="2" t="s">
        <v>3497</v>
      </c>
      <c r="HT7" s="2" t="s">
        <v>3497</v>
      </c>
      <c r="HU7" s="2" t="s">
        <v>3497</v>
      </c>
      <c r="HV7" s="2" t="s">
        <v>3497</v>
      </c>
      <c r="HW7" s="2" t="s">
        <v>3497</v>
      </c>
      <c r="HX7" s="2" t="s">
        <v>3497</v>
      </c>
      <c r="HY7" s="2" t="s">
        <v>3543</v>
      </c>
      <c r="HZ7" s="2" t="s">
        <v>3543</v>
      </c>
      <c r="IA7" s="2" t="s">
        <v>3543</v>
      </c>
      <c r="IB7" s="2" t="s">
        <v>3543</v>
      </c>
      <c r="IC7" s="2" t="s">
        <v>3543</v>
      </c>
      <c r="ID7" s="2" t="s">
        <v>3543</v>
      </c>
      <c r="IE7" s="2" t="s">
        <v>3543</v>
      </c>
      <c r="IF7" s="2" t="s">
        <v>3543</v>
      </c>
      <c r="IG7" s="2" t="s">
        <v>3543</v>
      </c>
      <c r="IH7" s="2" t="s">
        <v>3543</v>
      </c>
      <c r="II7" s="2" t="s">
        <v>3543</v>
      </c>
      <c r="IJ7" s="2" t="s">
        <v>3543</v>
      </c>
      <c r="IK7" s="2" t="s">
        <v>3543</v>
      </c>
      <c r="IL7" s="2" t="s">
        <v>3543</v>
      </c>
      <c r="IM7" s="2" t="s">
        <v>3543</v>
      </c>
      <c r="IN7" s="2" t="s">
        <v>3543</v>
      </c>
      <c r="IO7" s="2" t="s">
        <v>3543</v>
      </c>
      <c r="IP7" s="2" t="s">
        <v>3543</v>
      </c>
      <c r="IQ7" s="2" t="s">
        <v>3543</v>
      </c>
      <c r="IR7" s="2" t="s">
        <v>3543</v>
      </c>
      <c r="IS7" s="2" t="s">
        <v>3543</v>
      </c>
      <c r="IT7" s="2" t="s">
        <v>3543</v>
      </c>
      <c r="IU7" s="2" t="s">
        <v>3543</v>
      </c>
      <c r="IV7" s="2" t="s">
        <v>3543</v>
      </c>
      <c r="IW7" s="2" t="s">
        <v>3543</v>
      </c>
      <c r="IX7" s="2" t="s">
        <v>3543</v>
      </c>
      <c r="IY7" s="2" t="s">
        <v>3543</v>
      </c>
      <c r="IZ7" s="2" t="s">
        <v>3543</v>
      </c>
      <c r="JA7" s="2" t="s">
        <v>3543</v>
      </c>
      <c r="JB7" s="2" t="s">
        <v>3543</v>
      </c>
      <c r="JC7" s="2" t="s">
        <v>3543</v>
      </c>
      <c r="JD7" s="2" t="s">
        <v>3543</v>
      </c>
      <c r="JE7" s="2" t="s">
        <v>3543</v>
      </c>
      <c r="JF7" s="2" t="s">
        <v>3543</v>
      </c>
      <c r="JG7" s="2" t="s">
        <v>3543</v>
      </c>
      <c r="JH7" s="2" t="s">
        <v>3543</v>
      </c>
      <c r="JI7" s="2" t="s">
        <v>3543</v>
      </c>
      <c r="JJ7" s="2" t="s">
        <v>3543</v>
      </c>
      <c r="JK7" s="2" t="s">
        <v>3543</v>
      </c>
      <c r="JL7" s="2" t="s">
        <v>3543</v>
      </c>
      <c r="JM7" s="2" t="s">
        <v>3543</v>
      </c>
      <c r="JN7" s="2" t="s">
        <v>3543</v>
      </c>
      <c r="JO7" s="2" t="s">
        <v>3543</v>
      </c>
      <c r="JP7" s="2" t="s">
        <v>3543</v>
      </c>
    </row>
    <row r="8" spans="1:276" s="9" customFormat="1" ht="14" customHeight="1">
      <c r="A8" s="9" t="s">
        <v>572</v>
      </c>
      <c r="B8" s="9" t="s">
        <v>770</v>
      </c>
      <c r="C8" s="9" t="s">
        <v>771</v>
      </c>
      <c r="D8" s="9" t="s">
        <v>772</v>
      </c>
      <c r="E8" s="9" t="s">
        <v>733</v>
      </c>
      <c r="F8" s="9" t="s">
        <v>734</v>
      </c>
      <c r="G8" s="9" t="s">
        <v>735</v>
      </c>
      <c r="H8" s="9" t="s">
        <v>745</v>
      </c>
      <c r="I8" s="9" t="s">
        <v>652</v>
      </c>
      <c r="J8" s="9" t="s">
        <v>653</v>
      </c>
      <c r="K8" s="9" t="s">
        <v>559</v>
      </c>
      <c r="L8" s="9" t="s">
        <v>839</v>
      </c>
      <c r="M8" s="9" t="s">
        <v>739</v>
      </c>
      <c r="N8" s="9" t="s">
        <v>740</v>
      </c>
      <c r="O8" s="9" t="s">
        <v>741</v>
      </c>
      <c r="P8" s="9" t="s">
        <v>642</v>
      </c>
      <c r="Q8" s="9" t="s">
        <v>643</v>
      </c>
      <c r="R8" s="9" t="s">
        <v>644</v>
      </c>
      <c r="S8" s="9" t="s">
        <v>645</v>
      </c>
      <c r="T8" s="9" t="s">
        <v>646</v>
      </c>
      <c r="U8" s="9" t="s">
        <v>647</v>
      </c>
      <c r="V8" s="9" t="s">
        <v>561</v>
      </c>
      <c r="W8" s="9" t="s">
        <v>562</v>
      </c>
      <c r="X8" s="9" t="s">
        <v>563</v>
      </c>
      <c r="Y8" s="9" t="s">
        <v>564</v>
      </c>
      <c r="Z8" s="9" t="s">
        <v>565</v>
      </c>
      <c r="AA8" s="9" t="s">
        <v>651</v>
      </c>
      <c r="AB8" s="9" t="s">
        <v>580</v>
      </c>
      <c r="AC8" s="9" t="s">
        <v>581</v>
      </c>
      <c r="AD8" s="9" t="s">
        <v>582</v>
      </c>
      <c r="AE8" s="9" t="s">
        <v>583</v>
      </c>
      <c r="AF8" s="9" t="s">
        <v>655</v>
      </c>
      <c r="AG8" s="9" t="s">
        <v>656</v>
      </c>
      <c r="AH8" s="9" t="s">
        <v>657</v>
      </c>
      <c r="AI8" s="9" t="s">
        <v>658</v>
      </c>
      <c r="AJ8" s="9" t="s">
        <v>585</v>
      </c>
      <c r="AK8" s="9" t="s">
        <v>586</v>
      </c>
      <c r="AL8" s="9" t="s">
        <v>587</v>
      </c>
      <c r="AM8" s="9" t="s">
        <v>396</v>
      </c>
      <c r="AN8" s="9" t="s">
        <v>397</v>
      </c>
      <c r="AO8" s="9" t="s">
        <v>398</v>
      </c>
      <c r="AP8" s="9" t="s">
        <v>399</v>
      </c>
      <c r="AQ8" s="9" t="s">
        <v>666</v>
      </c>
      <c r="AR8" s="9" t="s">
        <v>847</v>
      </c>
      <c r="AS8" s="9" t="s">
        <v>662</v>
      </c>
      <c r="AT8" s="9" t="s">
        <v>1308</v>
      </c>
      <c r="AU8" s="9" t="s">
        <v>1325</v>
      </c>
      <c r="AV8" s="9" t="s">
        <v>1326</v>
      </c>
      <c r="AW8" s="9" t="s">
        <v>1327</v>
      </c>
      <c r="AX8" s="9" t="s">
        <v>1328</v>
      </c>
      <c r="AY8" s="9" t="s">
        <v>1329</v>
      </c>
      <c r="AZ8" s="9" t="s">
        <v>1330</v>
      </c>
      <c r="BA8" s="9" t="s">
        <v>1179</v>
      </c>
      <c r="BB8" s="9" t="s">
        <v>1182</v>
      </c>
      <c r="BC8" s="9" t="s">
        <v>1183</v>
      </c>
      <c r="BD8" s="9" t="s">
        <v>1184</v>
      </c>
      <c r="BE8" s="9" t="s">
        <v>1185</v>
      </c>
      <c r="BF8" s="9" t="s">
        <v>1186</v>
      </c>
      <c r="BG8" s="9" t="s">
        <v>1187</v>
      </c>
      <c r="BH8" s="9" t="s">
        <v>1188</v>
      </c>
      <c r="BI8" s="9" t="s">
        <v>1189</v>
      </c>
      <c r="BJ8" s="9" t="s">
        <v>1190</v>
      </c>
      <c r="BK8" s="9" t="s">
        <v>1191</v>
      </c>
      <c r="BL8" s="9" t="s">
        <v>1192</v>
      </c>
      <c r="BM8" s="9" t="s">
        <v>1193</v>
      </c>
      <c r="BN8" s="9" t="s">
        <v>1262</v>
      </c>
      <c r="BO8" s="9" t="s">
        <v>1263</v>
      </c>
      <c r="BP8" s="9" t="s">
        <v>1271</v>
      </c>
      <c r="BQ8" s="9" t="s">
        <v>1272</v>
      </c>
      <c r="BR8" s="9" t="s">
        <v>1273</v>
      </c>
      <c r="BS8" s="9" t="s">
        <v>1334</v>
      </c>
      <c r="BT8" s="9" t="s">
        <v>1335</v>
      </c>
      <c r="BU8" s="9" t="s">
        <v>1336</v>
      </c>
      <c r="BV8" s="9" t="s">
        <v>1337</v>
      </c>
      <c r="BW8" s="9" t="s">
        <v>1338</v>
      </c>
      <c r="BX8" s="9" t="s">
        <v>1298</v>
      </c>
      <c r="BY8" s="9" t="s">
        <v>1299</v>
      </c>
      <c r="BZ8" s="9" t="s">
        <v>1304</v>
      </c>
      <c r="CA8" s="9" t="s">
        <v>1305</v>
      </c>
      <c r="CB8" s="9" t="s">
        <v>1306</v>
      </c>
      <c r="CC8" s="9" t="s">
        <v>1307</v>
      </c>
      <c r="CD8" s="9" t="s">
        <v>392</v>
      </c>
      <c r="CE8" s="9" t="s">
        <v>472</v>
      </c>
      <c r="CF8" s="9" t="s">
        <v>473</v>
      </c>
      <c r="CG8" s="9" t="s">
        <v>531</v>
      </c>
      <c r="CH8" s="9" t="s">
        <v>346</v>
      </c>
      <c r="CI8" s="9" t="s">
        <v>347</v>
      </c>
      <c r="CJ8" s="9" t="s">
        <v>532</v>
      </c>
      <c r="CK8" s="9" t="s">
        <v>533</v>
      </c>
      <c r="CL8" s="9" t="s">
        <v>480</v>
      </c>
      <c r="CM8" s="9" t="s">
        <v>595</v>
      </c>
      <c r="CN8" s="9" t="s">
        <v>596</v>
      </c>
      <c r="CO8" s="9" t="s">
        <v>597</v>
      </c>
      <c r="CP8" s="9" t="s">
        <v>788</v>
      </c>
      <c r="CQ8" s="9" t="s">
        <v>789</v>
      </c>
      <c r="CR8" s="9" t="s">
        <v>790</v>
      </c>
      <c r="CS8" s="9" t="s">
        <v>791</v>
      </c>
      <c r="CT8" s="9" t="s">
        <v>792</v>
      </c>
      <c r="CU8" s="9" t="s">
        <v>793</v>
      </c>
      <c r="CV8" s="9" t="s">
        <v>794</v>
      </c>
      <c r="CW8" s="9" t="s">
        <v>470</v>
      </c>
      <c r="CX8" s="9" t="s">
        <v>441</v>
      </c>
      <c r="CY8" s="9" t="s">
        <v>442</v>
      </c>
      <c r="CZ8" s="9" t="s">
        <v>443</v>
      </c>
      <c r="DA8" s="9" t="s">
        <v>444</v>
      </c>
      <c r="DB8" s="9" t="s">
        <v>786</v>
      </c>
      <c r="DC8" s="9" t="s">
        <v>787</v>
      </c>
      <c r="DD8" s="9" t="s">
        <v>700</v>
      </c>
      <c r="DE8" s="9" t="s">
        <v>701</v>
      </c>
      <c r="DF8" s="9" t="s">
        <v>795</v>
      </c>
      <c r="DG8" s="9" t="s">
        <v>318</v>
      </c>
      <c r="DH8" s="9" t="s">
        <v>313</v>
      </c>
      <c r="DI8" s="9" t="s">
        <v>369</v>
      </c>
      <c r="DJ8" s="9" t="s">
        <v>370</v>
      </c>
      <c r="DK8" s="9" t="s">
        <v>371</v>
      </c>
      <c r="DL8" s="9" t="s">
        <v>362</v>
      </c>
      <c r="DM8" s="9" t="s">
        <v>363</v>
      </c>
      <c r="DN8" s="9" t="s">
        <v>364</v>
      </c>
      <c r="DO8" s="9" t="s">
        <v>365</v>
      </c>
      <c r="DP8" s="9" t="s">
        <v>314</v>
      </c>
      <c r="DQ8" s="9" t="s">
        <v>315</v>
      </c>
      <c r="DR8" s="9" t="s">
        <v>316</v>
      </c>
      <c r="DS8" s="9" t="s">
        <v>317</v>
      </c>
      <c r="DT8" s="9" t="s">
        <v>699</v>
      </c>
      <c r="DU8" s="9" t="s">
        <v>894</v>
      </c>
      <c r="DV8" s="9" t="s">
        <v>779</v>
      </c>
      <c r="DW8" s="9" t="s">
        <v>780</v>
      </c>
      <c r="DX8" s="9" t="s">
        <v>781</v>
      </c>
      <c r="DY8" s="9" t="s">
        <v>965</v>
      </c>
      <c r="DZ8" s="9" t="s">
        <v>784</v>
      </c>
      <c r="EA8" s="9" t="s">
        <v>785</v>
      </c>
      <c r="EB8" s="9" t="s">
        <v>890</v>
      </c>
      <c r="EC8" s="9" t="s">
        <v>813</v>
      </c>
      <c r="ED8" s="9" t="s">
        <v>810</v>
      </c>
      <c r="EE8" s="9" t="s">
        <v>811</v>
      </c>
      <c r="EF8" s="9" t="s">
        <v>962</v>
      </c>
      <c r="EG8" s="9" t="s">
        <v>650</v>
      </c>
      <c r="EH8" s="9" t="s">
        <v>395</v>
      </c>
      <c r="EI8" s="9" t="s">
        <v>623</v>
      </c>
      <c r="EJ8" s="9" t="s">
        <v>624</v>
      </c>
      <c r="EK8" s="9" t="s">
        <v>625</v>
      </c>
      <c r="EL8" s="9" t="s">
        <v>626</v>
      </c>
      <c r="EM8" s="9" t="s">
        <v>704</v>
      </c>
      <c r="EN8" s="9" t="s">
        <v>627</v>
      </c>
      <c r="EO8" s="9" t="s">
        <v>3380</v>
      </c>
      <c r="EP8" s="9" t="s">
        <v>3381</v>
      </c>
      <c r="EQ8" s="9" t="s">
        <v>3382</v>
      </c>
      <c r="ER8" s="9" t="s">
        <v>3383</v>
      </c>
      <c r="ES8" s="9" t="s">
        <v>3384</v>
      </c>
      <c r="ET8" s="9" t="s">
        <v>3385</v>
      </c>
      <c r="EU8" s="9" t="s">
        <v>3386</v>
      </c>
      <c r="EV8" s="9" t="s">
        <v>3387</v>
      </c>
      <c r="EW8" s="9" t="s">
        <v>3388</v>
      </c>
      <c r="EX8" s="9" t="s">
        <v>3389</v>
      </c>
      <c r="EY8" s="9" t="s">
        <v>3390</v>
      </c>
      <c r="EZ8" s="9" t="s">
        <v>3391</v>
      </c>
      <c r="FA8" s="9" t="s">
        <v>3392</v>
      </c>
      <c r="FB8" s="9" t="s">
        <v>3393</v>
      </c>
      <c r="FC8" s="9" t="s">
        <v>3394</v>
      </c>
      <c r="FD8" s="9" t="s">
        <v>3395</v>
      </c>
      <c r="FE8" s="9" t="s">
        <v>3396</v>
      </c>
      <c r="FF8" s="9" t="s">
        <v>3397</v>
      </c>
      <c r="FG8" s="9" t="s">
        <v>3398</v>
      </c>
      <c r="FH8" s="9" t="s">
        <v>3399</v>
      </c>
      <c r="FI8" s="9" t="s">
        <v>3400</v>
      </c>
      <c r="FJ8" s="9" t="s">
        <v>3401</v>
      </c>
      <c r="FK8" s="9" t="s">
        <v>3402</v>
      </c>
      <c r="FL8" s="9" t="s">
        <v>3403</v>
      </c>
      <c r="FM8" s="9" t="s">
        <v>3404</v>
      </c>
      <c r="FN8" s="9" t="s">
        <v>3405</v>
      </c>
      <c r="FO8" s="9" t="s">
        <v>3406</v>
      </c>
      <c r="FP8" s="9" t="s">
        <v>3407</v>
      </c>
      <c r="FQ8" s="9" t="s">
        <v>3408</v>
      </c>
      <c r="FR8" s="9" t="s">
        <v>3409</v>
      </c>
      <c r="FS8" s="9" t="s">
        <v>3410</v>
      </c>
      <c r="FT8" s="9" t="s">
        <v>3411</v>
      </c>
      <c r="FU8" s="9" t="s">
        <v>3412</v>
      </c>
      <c r="FV8" s="9" t="s">
        <v>3413</v>
      </c>
      <c r="FW8" s="9" t="s">
        <v>3414</v>
      </c>
      <c r="FX8" s="9" t="s">
        <v>3415</v>
      </c>
      <c r="FY8" s="9" t="s">
        <v>3416</v>
      </c>
      <c r="FZ8" s="9" t="s">
        <v>3417</v>
      </c>
      <c r="GA8" s="9" t="s">
        <v>3418</v>
      </c>
      <c r="GB8" s="9" t="s">
        <v>3419</v>
      </c>
      <c r="GC8" s="9" t="s">
        <v>3420</v>
      </c>
      <c r="GD8" s="9" t="s">
        <v>3421</v>
      </c>
      <c r="GE8" s="9" t="s">
        <v>3422</v>
      </c>
      <c r="GF8" s="9" t="s">
        <v>3423</v>
      </c>
      <c r="HY8" s="9" t="s">
        <v>3499</v>
      </c>
      <c r="HZ8" s="9" t="s">
        <v>3500</v>
      </c>
      <c r="IA8" s="9" t="s">
        <v>3501</v>
      </c>
      <c r="IB8" s="9" t="s">
        <v>3502</v>
      </c>
      <c r="IC8" s="9" t="s">
        <v>3503</v>
      </c>
      <c r="ID8" s="9" t="s">
        <v>3504</v>
      </c>
      <c r="IE8" s="9" t="s">
        <v>3505</v>
      </c>
      <c r="IF8" s="9" t="s">
        <v>3506</v>
      </c>
      <c r="IG8" s="9" t="s">
        <v>3507</v>
      </c>
      <c r="IH8" s="9" t="s">
        <v>3508</v>
      </c>
      <c r="II8" s="9" t="s">
        <v>3509</v>
      </c>
      <c r="IJ8" s="9" t="s">
        <v>3510</v>
      </c>
      <c r="IK8" s="9" t="s">
        <v>3511</v>
      </c>
      <c r="IL8" s="9" t="s">
        <v>3512</v>
      </c>
      <c r="IM8" s="9" t="s">
        <v>3513</v>
      </c>
      <c r="IN8" s="9" t="s">
        <v>3514</v>
      </c>
      <c r="IO8" s="9" t="s">
        <v>3515</v>
      </c>
      <c r="IP8" s="9" t="s">
        <v>3516</v>
      </c>
      <c r="IQ8" s="9" t="s">
        <v>3517</v>
      </c>
      <c r="IR8" s="9" t="s">
        <v>3518</v>
      </c>
      <c r="IS8" s="9" t="s">
        <v>3519</v>
      </c>
      <c r="IT8" s="9" t="s">
        <v>3520</v>
      </c>
      <c r="IU8" s="9" t="s">
        <v>3521</v>
      </c>
      <c r="IV8" s="9" t="s">
        <v>3522</v>
      </c>
      <c r="IW8" s="9" t="s">
        <v>3523</v>
      </c>
      <c r="IX8" s="9" t="s">
        <v>3524</v>
      </c>
      <c r="IY8" s="9" t="s">
        <v>3525</v>
      </c>
      <c r="IZ8" s="9" t="s">
        <v>3526</v>
      </c>
      <c r="JA8" s="9" t="s">
        <v>3527</v>
      </c>
      <c r="JB8" s="9" t="s">
        <v>3528</v>
      </c>
      <c r="JC8" s="9" t="s">
        <v>3529</v>
      </c>
      <c r="JD8" s="9" t="s">
        <v>3530</v>
      </c>
      <c r="JE8" s="9" t="s">
        <v>3531</v>
      </c>
      <c r="JF8" s="9" t="s">
        <v>3532</v>
      </c>
      <c r="JG8" s="9" t="s">
        <v>3533</v>
      </c>
      <c r="JH8" s="9" t="s">
        <v>3534</v>
      </c>
      <c r="JI8" s="9" t="s">
        <v>3535</v>
      </c>
      <c r="JJ8" s="9" t="s">
        <v>3536</v>
      </c>
      <c r="JK8" s="9" t="s">
        <v>3537</v>
      </c>
      <c r="JL8" s="9" t="s">
        <v>3538</v>
      </c>
      <c r="JM8" s="9" t="s">
        <v>3539</v>
      </c>
      <c r="JN8" s="9" t="s">
        <v>3540</v>
      </c>
      <c r="JO8" s="9" t="s">
        <v>3541</v>
      </c>
      <c r="JP8" s="9" t="s">
        <v>3542</v>
      </c>
    </row>
    <row r="9" spans="1:276" s="225" customFormat="1" ht="14" customHeight="1">
      <c r="A9" s="217" t="s">
        <v>850</v>
      </c>
      <c r="B9" s="217" t="s">
        <v>851</v>
      </c>
      <c r="C9" s="217">
        <v>1</v>
      </c>
      <c r="D9" s="217" t="s">
        <v>759</v>
      </c>
      <c r="E9" s="218">
        <v>294.4272483619813</v>
      </c>
      <c r="F9" s="218">
        <v>280.11947931850005</v>
      </c>
      <c r="G9" s="218">
        <v>260.12625814337457</v>
      </c>
      <c r="H9" s="218">
        <v>295.80189932418983</v>
      </c>
      <c r="I9" s="218">
        <v>308.4459633732439</v>
      </c>
      <c r="J9" s="218">
        <v>303.49667896116171</v>
      </c>
      <c r="K9" s="218">
        <v>301.60320202812835</v>
      </c>
      <c r="L9" s="218">
        <v>313.86176984518698</v>
      </c>
      <c r="M9" s="218">
        <v>331.28492369159653</v>
      </c>
      <c r="N9" s="218">
        <v>341.12623838130907</v>
      </c>
      <c r="O9" s="218">
        <v>339.28793211896811</v>
      </c>
      <c r="P9" s="218">
        <v>333.22817327954556</v>
      </c>
      <c r="Q9" s="218">
        <v>335.49058923455277</v>
      </c>
      <c r="R9" s="218">
        <v>340.91409283613029</v>
      </c>
      <c r="S9" s="218">
        <v>322.42359805916635</v>
      </c>
      <c r="T9" s="218">
        <v>312.9360011658589</v>
      </c>
      <c r="U9" s="218">
        <v>331.1665952470758</v>
      </c>
      <c r="V9" s="218">
        <v>310.4501044972551</v>
      </c>
      <c r="W9" s="218">
        <v>326.17875315727258</v>
      </c>
      <c r="X9" s="218">
        <v>313.96380363484116</v>
      </c>
      <c r="Y9" s="218">
        <v>296.95539730995444</v>
      </c>
      <c r="Z9" s="218">
        <v>279.33745163475561</v>
      </c>
      <c r="AA9" s="218">
        <v>295.33208621565592</v>
      </c>
      <c r="AB9" s="218">
        <v>294.38569221560908</v>
      </c>
      <c r="AC9" s="218">
        <v>267.21185575211229</v>
      </c>
      <c r="AD9" s="218">
        <v>284.84652213761927</v>
      </c>
      <c r="AE9" s="218">
        <v>273.44742407730166</v>
      </c>
      <c r="AF9" s="218">
        <v>271.1748756115295</v>
      </c>
      <c r="AG9" s="218">
        <v>242.87960761430179</v>
      </c>
      <c r="AH9" s="218">
        <v>239.6762851167309</v>
      </c>
      <c r="AI9" s="218">
        <v>256.40276645668945</v>
      </c>
      <c r="AJ9" s="218">
        <v>276.89973472311078</v>
      </c>
      <c r="AK9" s="218">
        <v>292.7473324888357</v>
      </c>
      <c r="AL9" s="218">
        <v>314.29819347432084</v>
      </c>
      <c r="AM9" s="218">
        <v>298.85564761464298</v>
      </c>
      <c r="AN9" s="218">
        <v>296.93851413690686</v>
      </c>
      <c r="AO9" s="218">
        <v>311.27806554488905</v>
      </c>
      <c r="AP9" s="218">
        <v>315.45662684937793</v>
      </c>
      <c r="AQ9" s="218">
        <v>302.86091372597127</v>
      </c>
      <c r="AR9" s="218">
        <v>285.538391613427</v>
      </c>
      <c r="AS9" s="218">
        <v>269.65898002896608</v>
      </c>
      <c r="AT9" s="218">
        <v>10780.855564203894</v>
      </c>
      <c r="AU9" s="218">
        <v>10725.393041374422</v>
      </c>
      <c r="AV9" s="218">
        <v>10492.689327752058</v>
      </c>
      <c r="AW9" s="218">
        <v>10530.103545830822</v>
      </c>
      <c r="AX9" s="218">
        <v>10709.720632412811</v>
      </c>
      <c r="AY9" s="218">
        <v>10151.615057125169</v>
      </c>
      <c r="AZ9" s="218">
        <v>10096.736515712055</v>
      </c>
      <c r="BA9" s="218">
        <v>10757.440687295672</v>
      </c>
      <c r="BB9" s="218">
        <v>10240.212502356331</v>
      </c>
      <c r="BC9" s="218">
        <v>10688.211351163629</v>
      </c>
      <c r="BD9" s="218">
        <v>10319.568652580563</v>
      </c>
      <c r="BE9" s="218">
        <v>9778.1403739828802</v>
      </c>
      <c r="BF9" s="218">
        <v>9248.5103062336584</v>
      </c>
      <c r="BG9" s="218">
        <v>9762.2332235445047</v>
      </c>
      <c r="BH9" s="218">
        <v>9732.4501560488443</v>
      </c>
      <c r="BI9" s="218">
        <v>8946.9047411779702</v>
      </c>
      <c r="BJ9" s="218">
        <v>9393.5655487601944</v>
      </c>
      <c r="BK9" s="218">
        <v>8963.5057302466121</v>
      </c>
      <c r="BL9" s="218">
        <v>8910.2900782244978</v>
      </c>
      <c r="BM9" s="218">
        <v>8096.3000044788369</v>
      </c>
      <c r="BN9" s="218">
        <v>7927.2822223138201</v>
      </c>
      <c r="BO9" s="218">
        <v>8323.4536617107879</v>
      </c>
      <c r="BP9" s="218">
        <v>8942.0785491214192</v>
      </c>
      <c r="BQ9" s="218">
        <v>9507.0766031165294</v>
      </c>
      <c r="BR9" s="218">
        <v>9918.5887839431398</v>
      </c>
      <c r="BS9" s="218">
        <v>9760.8417842084255</v>
      </c>
      <c r="BT9" s="218">
        <v>10145.43732337148</v>
      </c>
      <c r="BU9" s="218">
        <v>10725.180664233987</v>
      </c>
      <c r="BV9" s="218">
        <v>11111.878745258249</v>
      </c>
      <c r="BW9" s="218">
        <v>10753.83659673848</v>
      </c>
      <c r="BX9" s="218">
        <v>10474.014480387093</v>
      </c>
      <c r="BY9" s="218">
        <v>10105.03313613325</v>
      </c>
      <c r="BZ9" s="218">
        <v>9133.819143856661</v>
      </c>
      <c r="CA9" s="218">
        <v>10028.158254741125</v>
      </c>
      <c r="CB9" s="218">
        <v>10572.68893996997</v>
      </c>
      <c r="CC9" s="218">
        <v>11356.518257774798</v>
      </c>
      <c r="CD9" s="219">
        <v>7656.7461114693169</v>
      </c>
      <c r="CE9" s="219">
        <v>7790.4955005373631</v>
      </c>
      <c r="CF9" s="219">
        <v>7493.7519399355006</v>
      </c>
      <c r="CG9" s="219">
        <v>7862.1101630517069</v>
      </c>
      <c r="CH9" s="219">
        <v>8088.8694876629634</v>
      </c>
      <c r="CI9" s="219">
        <v>7554.7998423966974</v>
      </c>
      <c r="CJ9" s="219">
        <v>7138.2719368878652</v>
      </c>
      <c r="CK9" s="219">
        <v>7154.1378676920076</v>
      </c>
      <c r="CL9" s="219">
        <v>7056.1088297982342</v>
      </c>
      <c r="CM9" s="219">
        <v>6413.8072745512891</v>
      </c>
      <c r="CN9" s="219">
        <v>6744.1097709515707</v>
      </c>
      <c r="CO9" s="219">
        <v>6599.1039968641862</v>
      </c>
      <c r="CP9" s="219">
        <v>6596.9293777198445</v>
      </c>
      <c r="CQ9" s="219">
        <v>5997.9514542423767</v>
      </c>
      <c r="CR9" s="219">
        <v>5829.6937046014118</v>
      </c>
      <c r="CS9" s="219">
        <v>6389.4774226680383</v>
      </c>
      <c r="CT9" s="219">
        <v>6958.6424808307602</v>
      </c>
      <c r="CU9" s="219">
        <v>7452.419229799767</v>
      </c>
      <c r="CV9" s="219">
        <v>8087.7421407886377</v>
      </c>
      <c r="CW9" s="219">
        <v>7717.667082371082</v>
      </c>
      <c r="CX9" s="219">
        <v>8421.1517290858374</v>
      </c>
      <c r="CY9" s="219">
        <v>9267.655476750866</v>
      </c>
      <c r="CZ9" s="219">
        <v>9432.9173682429628</v>
      </c>
      <c r="DA9" s="219">
        <v>9205.8434083906996</v>
      </c>
      <c r="DB9" s="219">
        <v>9001.0448582946356</v>
      </c>
      <c r="DC9" s="219">
        <v>8351.8274823051415</v>
      </c>
      <c r="DD9" s="219">
        <v>7487.7271748243356</v>
      </c>
      <c r="DE9" s="219">
        <v>8015.335038669502</v>
      </c>
      <c r="DF9" s="219">
        <v>8565.6083976726241</v>
      </c>
      <c r="DG9" s="219">
        <v>9515.2931599852782</v>
      </c>
      <c r="DH9" s="219">
        <v>9851.1974283322343</v>
      </c>
      <c r="DI9" s="219">
        <v>9679.8882771888148</v>
      </c>
      <c r="DJ9" s="219">
        <v>9987.4475284766231</v>
      </c>
      <c r="DK9" s="219">
        <v>10621.946171540354</v>
      </c>
      <c r="DL9" s="219">
        <v>11111.878745258249</v>
      </c>
      <c r="DM9" s="219">
        <v>10753.83659673848</v>
      </c>
      <c r="DN9" s="219">
        <v>10474.014480387093</v>
      </c>
      <c r="DO9" s="219">
        <v>10105.03313613325</v>
      </c>
      <c r="DP9" s="219">
        <v>9133.819143856661</v>
      </c>
      <c r="DQ9" s="219">
        <v>10028.158254741125</v>
      </c>
      <c r="DR9" s="219">
        <v>10572.68893996997</v>
      </c>
      <c r="DS9" s="219">
        <v>11356.518257774798</v>
      </c>
      <c r="DT9" s="220">
        <v>31.940849817974627</v>
      </c>
      <c r="DU9" s="220">
        <v>31.800821414433493</v>
      </c>
      <c r="DV9" s="220">
        <v>31.749714578874212</v>
      </c>
      <c r="DW9" s="220">
        <v>31.61286046975194</v>
      </c>
      <c r="DX9" s="220">
        <v>31.844170046853531</v>
      </c>
      <c r="DY9" s="220">
        <v>32.375679986038499</v>
      </c>
      <c r="DZ9" s="220">
        <v>32.315903457788323</v>
      </c>
      <c r="EA9" s="220">
        <v>31.937819944876733</v>
      </c>
      <c r="EB9" s="220">
        <v>31.929944670211018</v>
      </c>
      <c r="EC9" s="220">
        <v>30.859411236807112</v>
      </c>
      <c r="ED9" s="220">
        <v>31.927975899708539</v>
      </c>
      <c r="EE9" s="220">
        <v>31.775734224789097</v>
      </c>
      <c r="EF9" s="220">
        <v>31.703274974590457</v>
      </c>
      <c r="EG9" s="221">
        <v>5416</v>
      </c>
      <c r="EH9" s="221">
        <v>7265</v>
      </c>
      <c r="EI9" s="221">
        <v>6763</v>
      </c>
      <c r="EJ9" s="221">
        <v>10352.17</v>
      </c>
      <c r="EK9" s="221">
        <v>10340.18</v>
      </c>
      <c r="EL9" s="221">
        <v>9800.6</v>
      </c>
      <c r="EM9" s="221">
        <v>9066</v>
      </c>
      <c r="EN9" s="221">
        <v>6636</v>
      </c>
      <c r="EO9" s="222">
        <v>37.1</v>
      </c>
      <c r="EP9" s="222">
        <v>36.299999999999997</v>
      </c>
      <c r="EQ9" s="222">
        <v>35.799999999999997</v>
      </c>
      <c r="ER9" s="222">
        <v>35.5</v>
      </c>
      <c r="ES9" s="222">
        <v>34.700000000000003</v>
      </c>
      <c r="ET9" s="222">
        <v>33.799999999999997</v>
      </c>
      <c r="EU9" s="222">
        <v>33.700000000000003</v>
      </c>
      <c r="EV9" s="222">
        <v>34.200000000000003</v>
      </c>
      <c r="EW9" s="222">
        <v>34</v>
      </c>
      <c r="EX9" s="222">
        <v>34</v>
      </c>
      <c r="EY9" s="222">
        <v>33.1</v>
      </c>
      <c r="EZ9" s="222">
        <v>33.6</v>
      </c>
      <c r="FA9" s="222">
        <v>33</v>
      </c>
      <c r="FB9" s="222">
        <v>34</v>
      </c>
      <c r="FC9" s="222">
        <v>33.700000000000003</v>
      </c>
      <c r="FD9" s="223">
        <v>33.299999999999997</v>
      </c>
      <c r="FE9" s="223">
        <v>33.6</v>
      </c>
      <c r="FF9" s="223">
        <v>31.8</v>
      </c>
      <c r="FG9" s="223">
        <v>32.6</v>
      </c>
      <c r="FH9" s="223">
        <v>31.8</v>
      </c>
      <c r="FI9" s="223">
        <v>32.4</v>
      </c>
      <c r="FJ9" s="223">
        <v>31.8</v>
      </c>
      <c r="FK9" s="223">
        <v>31.6</v>
      </c>
      <c r="FL9" s="223">
        <v>31.9</v>
      </c>
      <c r="FM9" s="223">
        <v>32</v>
      </c>
      <c r="FN9" s="223">
        <v>32</v>
      </c>
      <c r="FO9" s="223">
        <v>32.1</v>
      </c>
      <c r="FP9" s="223">
        <v>32.200000000000003</v>
      </c>
      <c r="FQ9" s="223">
        <v>34.9</v>
      </c>
      <c r="FR9" s="223">
        <v>34.299999999999997</v>
      </c>
      <c r="FS9" s="223">
        <v>34</v>
      </c>
      <c r="FT9" s="223">
        <v>33.799999999999997</v>
      </c>
      <c r="FU9" s="223">
        <v>33.5</v>
      </c>
      <c r="FV9" s="223">
        <v>34.5</v>
      </c>
      <c r="FW9" s="223">
        <v>35.4</v>
      </c>
      <c r="FX9" s="223">
        <v>35.299999999999997</v>
      </c>
      <c r="FY9" s="223">
        <v>35.4</v>
      </c>
      <c r="FZ9" s="223">
        <v>33.1</v>
      </c>
      <c r="GA9" s="223">
        <v>35.1</v>
      </c>
      <c r="GB9" s="223">
        <v>35.200000000000003</v>
      </c>
      <c r="GC9" s="223">
        <v>37.6</v>
      </c>
      <c r="GD9" s="223">
        <v>38.9</v>
      </c>
      <c r="GE9" s="223">
        <v>42.5</v>
      </c>
      <c r="GF9" s="223">
        <v>35.9</v>
      </c>
      <c r="GG9" s="223">
        <v>35422.851023437499</v>
      </c>
      <c r="GH9" s="223">
        <v>36264.357937499997</v>
      </c>
      <c r="GI9" s="223">
        <v>36619.517937500001</v>
      </c>
      <c r="GJ9" s="223">
        <v>38362.961289062499</v>
      </c>
      <c r="GK9" s="223">
        <v>39224.438117187507</v>
      </c>
      <c r="GL9" s="223">
        <v>37735.555812499995</v>
      </c>
      <c r="GM9" s="223">
        <v>37177.932148437503</v>
      </c>
      <c r="GN9" s="223">
        <v>39276.685406250006</v>
      </c>
      <c r="GO9" s="223">
        <v>37841.293437500004</v>
      </c>
      <c r="GP9" s="223">
        <v>41325.881718750003</v>
      </c>
      <c r="GQ9" s="223">
        <v>42585.366148437504</v>
      </c>
      <c r="GR9" s="223">
        <v>42871.951500000003</v>
      </c>
      <c r="GS9" s="223">
        <v>42128.457421874999</v>
      </c>
      <c r="GT9" s="223">
        <v>47430.940312500003</v>
      </c>
      <c r="GU9" s="223">
        <v>50211.183359375005</v>
      </c>
      <c r="GV9" s="223">
        <v>47601.033609374994</v>
      </c>
      <c r="GW9" s="223">
        <v>54712.680750000007</v>
      </c>
      <c r="GX9" s="223">
        <v>55670.699812500003</v>
      </c>
      <c r="GY9" s="223">
        <v>59854.975312499999</v>
      </c>
      <c r="GZ9" s="223">
        <v>57399.203718750003</v>
      </c>
      <c r="HA9" s="223">
        <v>63048.683812499999</v>
      </c>
      <c r="HB9" s="223">
        <v>74406.981562500005</v>
      </c>
      <c r="HC9" s="223">
        <v>89019.599625000003</v>
      </c>
      <c r="HD9" s="223">
        <v>103798.02434375</v>
      </c>
      <c r="HE9" s="223">
        <v>121430.46</v>
      </c>
      <c r="HF9" s="223">
        <v>134130.92000000001</v>
      </c>
      <c r="HG9" s="223">
        <v>172599.55331250001</v>
      </c>
      <c r="HH9" s="223">
        <v>180386.73449999999</v>
      </c>
      <c r="HI9" s="223">
        <v>197158.7595625</v>
      </c>
      <c r="HJ9" s="223">
        <v>182091.36837499999</v>
      </c>
      <c r="HK9" s="223">
        <v>178780.43625</v>
      </c>
      <c r="HL9" s="223">
        <v>165997.68331249998</v>
      </c>
      <c r="HM9" s="223">
        <v>152066.4453125</v>
      </c>
      <c r="HN9" s="223">
        <v>165342.37125</v>
      </c>
      <c r="HO9" s="223">
        <v>183127.36387499998</v>
      </c>
      <c r="HP9" s="223">
        <v>196497.582375</v>
      </c>
      <c r="HQ9" s="223">
        <v>214633.96124999999</v>
      </c>
      <c r="HR9" s="223">
        <v>218565.23731250002</v>
      </c>
      <c r="HS9" s="223">
        <v>243293.82918750003</v>
      </c>
      <c r="HT9" s="223">
        <v>243806.44200000001</v>
      </c>
      <c r="HU9" s="223">
        <v>286769.04300000001</v>
      </c>
      <c r="HV9" s="223">
        <v>327721.09743750002</v>
      </c>
      <c r="HW9" s="223">
        <v>362841.99687500001</v>
      </c>
      <c r="HX9" s="223">
        <v>314264.04518750001</v>
      </c>
      <c r="HY9" s="224">
        <v>4037.0088267344604</v>
      </c>
      <c r="HZ9" s="224">
        <v>4036.7213274087853</v>
      </c>
      <c r="IA9" s="224">
        <v>3983.5411594528737</v>
      </c>
      <c r="IB9" s="224">
        <v>4080.387912516142</v>
      </c>
      <c r="IC9" s="224">
        <v>4081.2532950609657</v>
      </c>
      <c r="ID9" s="224">
        <v>3842.7369509892005</v>
      </c>
      <c r="IE9" s="224">
        <v>3707.022091454819</v>
      </c>
      <c r="IF9" s="224">
        <v>3836.30914023577</v>
      </c>
      <c r="IG9" s="224">
        <v>3622.1358382296867</v>
      </c>
      <c r="IH9" s="224">
        <v>3878.0631323712128</v>
      </c>
      <c r="II9" s="224">
        <v>3919.352696966143</v>
      </c>
      <c r="IJ9" s="224">
        <v>3889.4445986220544</v>
      </c>
      <c r="IK9" s="224">
        <v>3768.2404697615134</v>
      </c>
      <c r="IL9" s="224">
        <v>4183.6895540291225</v>
      </c>
      <c r="IM9" s="224">
        <v>4368.3394602069839</v>
      </c>
      <c r="IN9" s="224">
        <v>4085.3736679160252</v>
      </c>
      <c r="IO9" s="224">
        <v>4633.2094441708259</v>
      </c>
      <c r="IP9" s="224">
        <v>4652.390862817535</v>
      </c>
      <c r="IQ9" s="224">
        <v>4937.1956216200342</v>
      </c>
      <c r="IR9" s="224">
        <v>4674.0092830654303</v>
      </c>
      <c r="IS9" s="224">
        <v>5069.142685355805</v>
      </c>
      <c r="IT9" s="224">
        <v>5907.6725019440291</v>
      </c>
      <c r="IU9" s="224">
        <v>6980.730886673653</v>
      </c>
      <c r="IV9" s="224">
        <v>8040.4970162642676</v>
      </c>
      <c r="IW9" s="224">
        <v>9293.1813501258439</v>
      </c>
      <c r="IX9" s="224">
        <v>10143.118856452676</v>
      </c>
      <c r="IY9" s="224">
        <v>12898.805864360858</v>
      </c>
      <c r="IZ9" s="224">
        <v>13324.215558524753</v>
      </c>
      <c r="JA9" s="224">
        <v>14395.90203149536</v>
      </c>
      <c r="JB9" s="224">
        <v>13144.835330935291</v>
      </c>
      <c r="JC9" s="224">
        <v>12761.00001870105</v>
      </c>
      <c r="JD9" s="224">
        <v>11717.106099276471</v>
      </c>
      <c r="JE9" s="224">
        <v>10637.916732308446</v>
      </c>
      <c r="JF9" s="224">
        <v>11464.280566041949</v>
      </c>
      <c r="JG9" s="224">
        <v>12586.048032962681</v>
      </c>
      <c r="JH9" s="224">
        <v>13387.523313483445</v>
      </c>
      <c r="JI9" s="224">
        <v>14497.103148872364</v>
      </c>
      <c r="JJ9" s="224">
        <v>14636.454432838929</v>
      </c>
      <c r="JK9" s="224">
        <v>16154.356245025507</v>
      </c>
      <c r="JL9" s="224">
        <v>16052.351801631357</v>
      </c>
      <c r="JM9" s="224">
        <v>18723.687734569212</v>
      </c>
      <c r="JN9" s="224">
        <v>21219.541845227621</v>
      </c>
      <c r="JO9" s="224">
        <v>23301.394394608265</v>
      </c>
      <c r="JP9" s="224">
        <v>19292.313161760459</v>
      </c>
    </row>
    <row r="10" spans="1:276" s="225" customFormat="1" ht="14" customHeight="1">
      <c r="A10" s="217" t="s">
        <v>667</v>
      </c>
      <c r="B10" s="217" t="s">
        <v>668</v>
      </c>
      <c r="C10" s="217">
        <v>2</v>
      </c>
      <c r="D10" s="217" t="s">
        <v>759</v>
      </c>
      <c r="E10" s="218"/>
      <c r="F10" s="218"/>
      <c r="G10" s="218"/>
      <c r="H10" s="218"/>
      <c r="I10" s="218"/>
      <c r="J10" s="218"/>
      <c r="K10" s="218"/>
      <c r="L10" s="218"/>
      <c r="M10" s="218"/>
      <c r="N10" s="218">
        <v>737.3343392140996</v>
      </c>
      <c r="O10" s="218">
        <v>775.38493034928979</v>
      </c>
      <c r="P10" s="218">
        <v>776.74399667031673</v>
      </c>
      <c r="Q10" s="218">
        <v>787.52313081392913</v>
      </c>
      <c r="R10" s="218">
        <v>850.44526402220151</v>
      </c>
      <c r="S10" s="218">
        <v>861.53212613297615</v>
      </c>
      <c r="T10" s="218">
        <v>826.70399199271822</v>
      </c>
      <c r="U10" s="218">
        <v>877.68912189551327</v>
      </c>
      <c r="V10" s="218">
        <v>834.58465361709591</v>
      </c>
      <c r="W10" s="218">
        <v>881.72046107629842</v>
      </c>
      <c r="X10" s="218">
        <v>895.8045308575355</v>
      </c>
      <c r="Y10" s="218">
        <v>821.88719553643136</v>
      </c>
      <c r="Z10" s="218">
        <v>746.35103309058513</v>
      </c>
      <c r="AA10" s="218">
        <v>742.31825300945286</v>
      </c>
      <c r="AB10" s="218">
        <v>750.56019086450328</v>
      </c>
      <c r="AC10" s="218">
        <v>693.97986554954707</v>
      </c>
      <c r="AD10" s="218">
        <v>742.88070898350895</v>
      </c>
      <c r="AE10" s="218">
        <v>790.7483873939276</v>
      </c>
      <c r="AF10" s="218">
        <v>716.56739560287019</v>
      </c>
      <c r="AG10" s="218">
        <v>708.70547617988859</v>
      </c>
      <c r="AH10" s="218">
        <v>685.82680474129904</v>
      </c>
      <c r="AI10" s="218">
        <v>780.13586929530686</v>
      </c>
      <c r="AJ10" s="218">
        <v>887.19834864909012</v>
      </c>
      <c r="AK10" s="218">
        <v>941.40581443941653</v>
      </c>
      <c r="AL10" s="218">
        <v>1025.5051320982936</v>
      </c>
      <c r="AM10" s="218">
        <v>984.90400114908311</v>
      </c>
      <c r="AN10" s="218">
        <v>1041.6680606661434</v>
      </c>
      <c r="AO10" s="218">
        <v>1131.0446421406125</v>
      </c>
      <c r="AP10" s="218"/>
      <c r="AQ10" s="218"/>
      <c r="AR10" s="218"/>
      <c r="AS10" s="218"/>
      <c r="AT10" s="218">
        <v>23302.502473320354</v>
      </c>
      <c r="AU10" s="218">
        <v>24564.155189632536</v>
      </c>
      <c r="AV10" s="218">
        <v>24550.946968912616</v>
      </c>
      <c r="AW10" s="218">
        <v>24839.503574623144</v>
      </c>
      <c r="AX10" s="218">
        <v>26864.284496813547</v>
      </c>
      <c r="AY10" s="218">
        <v>27279.699345246609</v>
      </c>
      <c r="AZ10" s="218">
        <v>26816.595977811947</v>
      </c>
      <c r="BA10" s="218">
        <v>28642.575156251223</v>
      </c>
      <c r="BB10" s="218">
        <v>27624.683942766809</v>
      </c>
      <c r="BC10" s="218">
        <v>28947.972863174822</v>
      </c>
      <c r="BD10" s="218">
        <v>29443.892093461709</v>
      </c>
      <c r="BE10" s="218">
        <v>27088.264371632282</v>
      </c>
      <c r="BF10" s="218">
        <v>24751.756975557695</v>
      </c>
      <c r="BG10" s="218">
        <v>24591.222006604421</v>
      </c>
      <c r="BH10" s="218">
        <v>24876.587402347028</v>
      </c>
      <c r="BI10" s="218">
        <v>23298.695521782738</v>
      </c>
      <c r="BJ10" s="218">
        <v>24563.814700949406</v>
      </c>
      <c r="BK10" s="218">
        <v>25984.407887518766</v>
      </c>
      <c r="BL10" s="218">
        <v>23594.397310518551</v>
      </c>
      <c r="BM10" s="218">
        <v>23661.23847767388</v>
      </c>
      <c r="BN10" s="218">
        <v>22703.151211802349</v>
      </c>
      <c r="BO10" s="218">
        <v>25325.09632268261</v>
      </c>
      <c r="BP10" s="218">
        <v>28522.914058227696</v>
      </c>
      <c r="BQ10" s="218">
        <v>30295.617442811097</v>
      </c>
      <c r="BR10" s="218">
        <v>31917.025272860123</v>
      </c>
      <c r="BS10" s="218">
        <v>31569.05105078877</v>
      </c>
      <c r="BT10" s="218">
        <v>33238.328852707578</v>
      </c>
      <c r="BU10" s="218">
        <v>35501.227301375955</v>
      </c>
      <c r="BV10" s="218">
        <v>35991.290610474818</v>
      </c>
      <c r="BW10" s="218">
        <v>36370.970029265525</v>
      </c>
      <c r="BX10" s="218">
        <v>36239.948598711031</v>
      </c>
      <c r="BY10" s="218">
        <v>35746.167727670188</v>
      </c>
      <c r="BZ10" s="218">
        <v>30329.841492553434</v>
      </c>
      <c r="CA10" s="218">
        <v>30469.605353428931</v>
      </c>
      <c r="CB10" s="218">
        <v>32232.093831027614</v>
      </c>
      <c r="CC10" s="218">
        <v>35726.501927921672</v>
      </c>
      <c r="CD10" s="219">
        <v>13610.840750515301</v>
      </c>
      <c r="CE10" s="219">
        <v>14281.086149781106</v>
      </c>
      <c r="CF10" s="219">
        <v>13706.689489575578</v>
      </c>
      <c r="CG10" s="219">
        <v>14215.738335187127</v>
      </c>
      <c r="CH10" s="219">
        <v>14436.887886121109</v>
      </c>
      <c r="CI10" s="219">
        <v>13739.306249681029</v>
      </c>
      <c r="CJ10" s="219">
        <v>13448.22956685733</v>
      </c>
      <c r="CK10" s="219">
        <v>14048.965941157587</v>
      </c>
      <c r="CL10" s="219">
        <v>14017.4038888409</v>
      </c>
      <c r="CM10" s="219">
        <v>12476.025021738094</v>
      </c>
      <c r="CN10" s="219">
        <v>13042.453110784885</v>
      </c>
      <c r="CO10" s="219">
        <v>15318.63367019062</v>
      </c>
      <c r="CP10" s="219">
        <v>12926.343866649075</v>
      </c>
      <c r="CQ10" s="219">
        <v>11702.008808199331</v>
      </c>
      <c r="CR10" s="219">
        <v>11642.688324019626</v>
      </c>
      <c r="CS10" s="219">
        <v>12987.935692416413</v>
      </c>
      <c r="CT10" s="219">
        <v>14306.378445208977</v>
      </c>
      <c r="CU10" s="219">
        <v>13859.866989656837</v>
      </c>
      <c r="CV10" s="219">
        <v>14500.170117613618</v>
      </c>
      <c r="CW10" s="219">
        <v>15009.285892927137</v>
      </c>
      <c r="CX10" s="219">
        <v>13966.061796016216</v>
      </c>
      <c r="CY10" s="219">
        <v>15281.405438923382</v>
      </c>
      <c r="CZ10" s="219">
        <v>15843.428527491513</v>
      </c>
      <c r="DA10" s="219">
        <v>15730.654837143175</v>
      </c>
      <c r="DB10" s="219">
        <v>15792.616097440083</v>
      </c>
      <c r="DC10" s="219">
        <v>15878.671376226959</v>
      </c>
      <c r="DD10" s="219">
        <v>13846.460605539805</v>
      </c>
      <c r="DE10" s="219">
        <v>15363.716989308603</v>
      </c>
      <c r="DF10" s="219">
        <v>16683.850985783436</v>
      </c>
      <c r="DG10" s="219">
        <v>28786.124506660788</v>
      </c>
      <c r="DH10" s="219">
        <v>30255.254812531148</v>
      </c>
      <c r="DI10" s="219">
        <v>30637.650681765921</v>
      </c>
      <c r="DJ10" s="219">
        <v>32664.366375829908</v>
      </c>
      <c r="DK10" s="219">
        <v>34399.193207566903</v>
      </c>
      <c r="DL10" s="219">
        <v>35991.290610474818</v>
      </c>
      <c r="DM10" s="219">
        <v>36370.970029265525</v>
      </c>
      <c r="DN10" s="219">
        <v>36239.948598711031</v>
      </c>
      <c r="DO10" s="219">
        <v>35746.167727670188</v>
      </c>
      <c r="DP10" s="219">
        <v>30329.841492553434</v>
      </c>
      <c r="DQ10" s="219">
        <v>30469.605353428931</v>
      </c>
      <c r="DR10" s="219">
        <v>32232.093831027614</v>
      </c>
      <c r="DS10" s="219">
        <v>35726.501927921672</v>
      </c>
      <c r="DT10" s="220">
        <v>22.241428793001049</v>
      </c>
      <c r="DU10" s="220">
        <v>22.232405226312711</v>
      </c>
      <c r="DV10" s="220">
        <v>22.625845828585003</v>
      </c>
      <c r="DW10" s="220">
        <v>23.028620116642859</v>
      </c>
      <c r="DX10" s="220">
        <v>22.725976140639219</v>
      </c>
      <c r="DY10" s="220">
        <v>22.866486180043609</v>
      </c>
      <c r="DZ10" s="220">
        <v>23.586163893471493</v>
      </c>
      <c r="EA10" s="220">
        <v>23.60280865141748</v>
      </c>
      <c r="EB10" s="220">
        <v>23.881557046322527</v>
      </c>
      <c r="EC10" s="220">
        <v>21.522626099995229</v>
      </c>
      <c r="ED10" s="220">
        <v>20.242135918369719</v>
      </c>
      <c r="EE10" s="220">
        <v>20.082560349234424</v>
      </c>
      <c r="EF10" s="220">
        <v>20.543858235507116</v>
      </c>
      <c r="EG10" s="221">
        <v>11523</v>
      </c>
      <c r="EH10" s="221">
        <v>18326</v>
      </c>
      <c r="EI10" s="221">
        <v>23409</v>
      </c>
      <c r="EJ10" s="221">
        <v>22308.47</v>
      </c>
      <c r="EK10" s="221">
        <v>26830.21</v>
      </c>
      <c r="EL10" s="221">
        <v>29753.23</v>
      </c>
      <c r="EM10" s="221">
        <v>20544</v>
      </c>
      <c r="EN10" s="221">
        <v>23153</v>
      </c>
      <c r="EO10" s="222">
        <v>27.1</v>
      </c>
      <c r="EP10" s="222">
        <v>27.5</v>
      </c>
      <c r="EQ10" s="222">
        <v>27</v>
      </c>
      <c r="ER10" s="222">
        <v>26.4</v>
      </c>
      <c r="ES10" s="222">
        <v>26.8</v>
      </c>
      <c r="ET10" s="222">
        <v>27.3</v>
      </c>
      <c r="EU10" s="222">
        <v>26.3</v>
      </c>
      <c r="EV10" s="222">
        <v>26.2</v>
      </c>
      <c r="EW10" s="222">
        <v>25.7</v>
      </c>
      <c r="EX10" s="222">
        <v>25.3</v>
      </c>
      <c r="EY10" s="222">
        <v>25.4</v>
      </c>
      <c r="EZ10" s="222">
        <v>24.7</v>
      </c>
      <c r="FA10" s="222">
        <v>23.2</v>
      </c>
      <c r="FB10" s="222">
        <v>22.2</v>
      </c>
      <c r="FC10" s="222">
        <v>22</v>
      </c>
      <c r="FD10" s="223">
        <v>21.9</v>
      </c>
      <c r="FE10" s="223">
        <v>21.9</v>
      </c>
      <c r="FF10" s="223">
        <v>22.8</v>
      </c>
      <c r="FG10" s="223">
        <v>21.1</v>
      </c>
      <c r="FH10" s="223">
        <v>22.4</v>
      </c>
      <c r="FI10" s="223">
        <v>22.1</v>
      </c>
      <c r="FJ10" s="223">
        <v>22.8</v>
      </c>
      <c r="FK10" s="223">
        <v>23.5</v>
      </c>
      <c r="FL10" s="223">
        <v>23.4</v>
      </c>
      <c r="FM10" s="223">
        <v>23.5</v>
      </c>
      <c r="FN10" s="223">
        <v>23.3</v>
      </c>
      <c r="FO10" s="223">
        <v>23.4</v>
      </c>
      <c r="FP10" s="223">
        <v>23.5</v>
      </c>
      <c r="FQ10" s="223">
        <v>23.1</v>
      </c>
      <c r="FR10" s="223">
        <v>23.7</v>
      </c>
      <c r="FS10" s="223">
        <v>23.9</v>
      </c>
      <c r="FT10" s="223">
        <v>23.3</v>
      </c>
      <c r="FU10" s="223">
        <v>21.5</v>
      </c>
      <c r="FV10" s="223">
        <v>21.1</v>
      </c>
      <c r="FW10" s="223">
        <v>21.4</v>
      </c>
      <c r="FX10" s="223">
        <v>22</v>
      </c>
      <c r="FY10" s="223">
        <v>23</v>
      </c>
      <c r="FZ10" s="223">
        <v>30.7</v>
      </c>
      <c r="GA10" s="223">
        <v>31.9</v>
      </c>
      <c r="GB10" s="223">
        <v>33.1</v>
      </c>
      <c r="GC10" s="223">
        <v>33.299999999999997</v>
      </c>
      <c r="GD10" s="223">
        <v>33.200000000000003</v>
      </c>
      <c r="GE10" s="223">
        <v>35.700000000000003</v>
      </c>
      <c r="GF10" s="223">
        <v>32.799999999999997</v>
      </c>
      <c r="GG10" s="223">
        <v>25874.912742187502</v>
      </c>
      <c r="GH10" s="223">
        <v>27472.998437500002</v>
      </c>
      <c r="GI10" s="223">
        <v>27618.072187500002</v>
      </c>
      <c r="GJ10" s="223">
        <v>28529.0754375</v>
      </c>
      <c r="GK10" s="223">
        <v>30294.378718750002</v>
      </c>
      <c r="GL10" s="223">
        <v>30478.718156250001</v>
      </c>
      <c r="GM10" s="223">
        <v>29014.2319140625</v>
      </c>
      <c r="GN10" s="223">
        <v>30089.156656250001</v>
      </c>
      <c r="GO10" s="223">
        <v>28603.565921875001</v>
      </c>
      <c r="GP10" s="223">
        <v>30751.317867187499</v>
      </c>
      <c r="GQ10" s="223">
        <v>32678.800609375001</v>
      </c>
      <c r="GR10" s="223">
        <v>31515.988156250001</v>
      </c>
      <c r="GS10" s="223">
        <v>29617.582187499997</v>
      </c>
      <c r="GT10" s="223">
        <v>30969.61396875</v>
      </c>
      <c r="GU10" s="223">
        <v>32778.814062500001</v>
      </c>
      <c r="GV10" s="223">
        <v>31305.184265624997</v>
      </c>
      <c r="GW10" s="223">
        <v>35660.943703124998</v>
      </c>
      <c r="GX10" s="223">
        <v>39914.841375000004</v>
      </c>
      <c r="GY10" s="223">
        <v>38740.490156250002</v>
      </c>
      <c r="GZ10" s="223">
        <v>40432.143499999998</v>
      </c>
      <c r="HA10" s="223">
        <v>43005.429390625002</v>
      </c>
      <c r="HB10" s="223">
        <v>53348.401875000003</v>
      </c>
      <c r="HC10" s="223">
        <v>66201.284531249999</v>
      </c>
      <c r="HD10" s="223">
        <v>76140.243562499993</v>
      </c>
      <c r="HE10" s="223">
        <v>89175.494062500002</v>
      </c>
      <c r="HF10" s="223">
        <v>97664.076125000007</v>
      </c>
      <c r="HG10" s="223">
        <v>125820.23512499999</v>
      </c>
      <c r="HH10" s="223">
        <v>131648.70374999999</v>
      </c>
      <c r="HI10" s="223">
        <v>130497.6316875</v>
      </c>
      <c r="HJ10" s="223">
        <v>125818.23412499999</v>
      </c>
      <c r="HK10" s="223">
        <v>125672.13018749999</v>
      </c>
      <c r="HL10" s="223">
        <v>114430.35565625</v>
      </c>
      <c r="HM10" s="223">
        <v>97594.8828125</v>
      </c>
      <c r="HN10" s="223">
        <v>101122.43575</v>
      </c>
      <c r="HO10" s="223">
        <v>110704.11262499999</v>
      </c>
      <c r="HP10" s="223">
        <v>122463.0825</v>
      </c>
      <c r="HQ10" s="223">
        <v>139451.44375000001</v>
      </c>
      <c r="HR10" s="223">
        <v>202717.60681249999</v>
      </c>
      <c r="HS10" s="223">
        <v>221113.19518750001</v>
      </c>
      <c r="HT10" s="223">
        <v>229261.17131250002</v>
      </c>
      <c r="HU10" s="223">
        <v>253973.64712499996</v>
      </c>
      <c r="HV10" s="223">
        <v>279700.26825000002</v>
      </c>
      <c r="HW10" s="223">
        <v>304787.27737500001</v>
      </c>
      <c r="HX10" s="223">
        <v>287127.03849999997</v>
      </c>
      <c r="HY10" s="224">
        <v>8704.9022279536457</v>
      </c>
      <c r="HZ10" s="224">
        <v>9257.9900463711674</v>
      </c>
      <c r="IA10" s="224">
        <v>9322.4672722102696</v>
      </c>
      <c r="IB10" s="224">
        <v>9646.1338028388072</v>
      </c>
      <c r="IC10" s="224">
        <v>10260.226185050795</v>
      </c>
      <c r="ID10" s="224">
        <v>10340.037391341075</v>
      </c>
      <c r="IE10" s="224">
        <v>9859.8032126452745</v>
      </c>
      <c r="IF10" s="224">
        <v>10242.363321633995</v>
      </c>
      <c r="IG10" s="224">
        <v>9753.1425658284043</v>
      </c>
      <c r="IH10" s="224">
        <v>10503.247556225317</v>
      </c>
      <c r="II10" s="224">
        <v>11180.537968309129</v>
      </c>
      <c r="IJ10" s="224">
        <v>10768.440433701528</v>
      </c>
      <c r="IK10" s="224">
        <v>10106.424763587775</v>
      </c>
      <c r="IL10" s="224">
        <v>10553.840907759541</v>
      </c>
      <c r="IM10" s="224">
        <v>11155.667198037783</v>
      </c>
      <c r="IN10" s="224">
        <v>10640.129344065122</v>
      </c>
      <c r="IO10" s="224">
        <v>12104.6585012253</v>
      </c>
      <c r="IP10" s="224">
        <v>13530.81476066397</v>
      </c>
      <c r="IQ10" s="224">
        <v>13115.511000030165</v>
      </c>
      <c r="IR10" s="224">
        <v>13670.304246701864</v>
      </c>
      <c r="IS10" s="224">
        <v>14521.342561153977</v>
      </c>
      <c r="IT10" s="224">
        <v>17990.27042024305</v>
      </c>
      <c r="IU10" s="224">
        <v>22301.99131062891</v>
      </c>
      <c r="IV10" s="224">
        <v>25624.351295237153</v>
      </c>
      <c r="IW10" s="224">
        <v>29980.990480537726</v>
      </c>
      <c r="IX10" s="224">
        <v>32801.792316761137</v>
      </c>
      <c r="IY10" s="224">
        <v>42215.888848812232</v>
      </c>
      <c r="IZ10" s="224">
        <v>44127.079917626848</v>
      </c>
      <c r="JA10" s="224">
        <v>43697.322570414915</v>
      </c>
      <c r="JB10" s="224">
        <v>42088.148084453911</v>
      </c>
      <c r="JC10" s="224">
        <v>41997.136405770405</v>
      </c>
      <c r="JD10" s="224">
        <v>38202.066589587288</v>
      </c>
      <c r="JE10" s="224">
        <v>32505.761686067672</v>
      </c>
      <c r="JF10" s="224">
        <v>33602.44406367909</v>
      </c>
      <c r="JG10" s="224">
        <v>36701.133162578284</v>
      </c>
      <c r="JH10" s="224">
        <v>40505.651844923821</v>
      </c>
      <c r="JI10" s="224">
        <v>46018.292007442971</v>
      </c>
      <c r="JJ10" s="224">
        <v>66741.859743611698</v>
      </c>
      <c r="JK10" s="224">
        <v>72631.185473046498</v>
      </c>
      <c r="JL10" s="224">
        <v>75135.109223100531</v>
      </c>
      <c r="JM10" s="224">
        <v>83043.81510337902</v>
      </c>
      <c r="JN10" s="224">
        <v>91242.481391868962</v>
      </c>
      <c r="JO10" s="224">
        <v>99200.852152338251</v>
      </c>
      <c r="JP10" s="224">
        <v>94323.216141778306</v>
      </c>
    </row>
    <row r="11" spans="1:276" s="225" customFormat="1" ht="14" customHeight="1">
      <c r="A11" s="217" t="s">
        <v>669</v>
      </c>
      <c r="B11" s="217" t="s">
        <v>663</v>
      </c>
      <c r="C11" s="217">
        <v>3</v>
      </c>
      <c r="D11" s="217" t="s">
        <v>664</v>
      </c>
      <c r="E11" s="218">
        <v>111.49129860206868</v>
      </c>
      <c r="F11" s="218">
        <v>114.65500586791447</v>
      </c>
      <c r="G11" s="218">
        <v>114.46225120042071</v>
      </c>
      <c r="H11" s="218">
        <v>116.46297731440595</v>
      </c>
      <c r="I11" s="218">
        <v>112.73404489050644</v>
      </c>
      <c r="J11" s="218">
        <v>125.88476225250552</v>
      </c>
      <c r="K11" s="218">
        <v>117.79594161447008</v>
      </c>
      <c r="L11" s="218">
        <v>116.84787200875816</v>
      </c>
      <c r="M11" s="218">
        <v>124.9255866163985</v>
      </c>
      <c r="N11" s="218">
        <v>127.36237966535647</v>
      </c>
      <c r="O11" s="218">
        <v>133.99643688995462</v>
      </c>
      <c r="P11" s="218">
        <v>142.53781833218792</v>
      </c>
      <c r="Q11" s="218">
        <v>144.11584948229913</v>
      </c>
      <c r="R11" s="218">
        <v>165.90689827710608</v>
      </c>
      <c r="S11" s="218">
        <v>167.52740691334347</v>
      </c>
      <c r="T11" s="218">
        <v>152.473835439553</v>
      </c>
      <c r="U11" s="218">
        <v>153.80153836340639</v>
      </c>
      <c r="V11" s="218">
        <v>167.49781990050604</v>
      </c>
      <c r="W11" s="218">
        <v>185.82642156011701</v>
      </c>
      <c r="X11" s="218">
        <v>201.85250542654074</v>
      </c>
      <c r="Y11" s="218">
        <v>173.16103875092213</v>
      </c>
      <c r="Z11" s="218">
        <v>177.08493293989156</v>
      </c>
      <c r="AA11" s="218">
        <v>185.45396342316198</v>
      </c>
      <c r="AB11" s="218">
        <v>217.3824267814594</v>
      </c>
      <c r="AC11" s="218">
        <v>186.56399936005297</v>
      </c>
      <c r="AD11" s="218">
        <v>231.20857399233194</v>
      </c>
      <c r="AE11" s="218">
        <v>239.74487051886157</v>
      </c>
      <c r="AF11" s="218">
        <v>223.71023105551163</v>
      </c>
      <c r="AG11" s="218">
        <v>216.21474341981659</v>
      </c>
      <c r="AH11" s="218">
        <v>217.24255542530557</v>
      </c>
      <c r="AI11" s="218">
        <v>232.71832377511373</v>
      </c>
      <c r="AJ11" s="218">
        <v>228.74277978805645</v>
      </c>
      <c r="AK11" s="218">
        <v>241.64988765365376</v>
      </c>
      <c r="AL11" s="218">
        <v>253.70778011804754</v>
      </c>
      <c r="AM11" s="218">
        <v>220.00191048524314</v>
      </c>
      <c r="AN11" s="218">
        <v>215.86561217034912</v>
      </c>
      <c r="AO11" s="218">
        <v>241.95886477525212</v>
      </c>
      <c r="AP11" s="218">
        <v>346.26494083528166</v>
      </c>
      <c r="AQ11" s="218">
        <v>354.36680562459895</v>
      </c>
      <c r="AR11" s="218">
        <v>335.33199880816051</v>
      </c>
      <c r="AS11" s="218">
        <v>315.61322167451692</v>
      </c>
      <c r="AT11" s="218">
        <v>4025.1240303324034</v>
      </c>
      <c r="AU11" s="218">
        <v>4238.0528809486568</v>
      </c>
      <c r="AV11" s="218">
        <v>4492.3385097131495</v>
      </c>
      <c r="AW11" s="218">
        <v>4528.7108956754564</v>
      </c>
      <c r="AX11" s="218">
        <v>5218.7827298682787</v>
      </c>
      <c r="AY11" s="218">
        <v>5281.7481171846675</v>
      </c>
      <c r="AZ11" s="218">
        <v>4925.7229762159131</v>
      </c>
      <c r="BA11" s="218">
        <v>5001.4323842599069</v>
      </c>
      <c r="BB11" s="218">
        <v>5529.4078206512277</v>
      </c>
      <c r="BC11" s="218">
        <v>6091.8799069437073</v>
      </c>
      <c r="BD11" s="218">
        <v>6634.6208172049937</v>
      </c>
      <c r="BE11" s="218">
        <v>5692.6279866456443</v>
      </c>
      <c r="BF11" s="218">
        <v>5846.3412013410862</v>
      </c>
      <c r="BG11" s="218">
        <v>6107.343069483687</v>
      </c>
      <c r="BH11" s="218">
        <v>7156.0289006263056</v>
      </c>
      <c r="BI11" s="218">
        <v>6218.5683649500361</v>
      </c>
      <c r="BJ11" s="218">
        <v>7591.0828967871175</v>
      </c>
      <c r="BK11" s="218">
        <v>7826.9556187968328</v>
      </c>
      <c r="BL11" s="218">
        <v>7325.6316264134939</v>
      </c>
      <c r="BM11" s="218">
        <v>7189.3096884243996</v>
      </c>
      <c r="BN11" s="218">
        <v>7175.4087851480353</v>
      </c>
      <c r="BO11" s="218">
        <v>7554.5993943102076</v>
      </c>
      <c r="BP11" s="218">
        <v>7384.8216841238973</v>
      </c>
      <c r="BQ11" s="218">
        <v>7847.4865006590971</v>
      </c>
      <c r="BR11" s="218">
        <v>8012.4952199782183</v>
      </c>
      <c r="BS11" s="218">
        <v>7199.8665481477992</v>
      </c>
      <c r="BT11" s="218">
        <v>7235.4502996519805</v>
      </c>
      <c r="BU11" s="218">
        <v>7388.2396607952533</v>
      </c>
      <c r="BV11" s="218">
        <v>8312.1736742620178</v>
      </c>
      <c r="BW11" s="218">
        <v>9216.1748459024529</v>
      </c>
      <c r="BX11" s="218">
        <v>8169.4402397946596</v>
      </c>
      <c r="BY11" s="218">
        <v>8464.3923396814589</v>
      </c>
      <c r="BZ11" s="218">
        <v>13350.625399041399</v>
      </c>
      <c r="CA11" s="218">
        <v>15428.51587864375</v>
      </c>
      <c r="CB11" s="218">
        <v>16046.038154293195</v>
      </c>
      <c r="CC11" s="218">
        <v>18544.273021638804</v>
      </c>
      <c r="CD11" s="219">
        <v>3366.758448068822</v>
      </c>
      <c r="CE11" s="219">
        <v>3362.4147228213192</v>
      </c>
      <c r="CF11" s="219">
        <v>3100.9860752578911</v>
      </c>
      <c r="CG11" s="219">
        <v>3429.9983279984831</v>
      </c>
      <c r="CH11" s="219">
        <v>3387.8552673144959</v>
      </c>
      <c r="CI11" s="219">
        <v>3197.4608203671182</v>
      </c>
      <c r="CJ11" s="219">
        <v>3084.5167902507551</v>
      </c>
      <c r="CK11" s="219">
        <v>3309.2635939144366</v>
      </c>
      <c r="CL11" s="219">
        <v>3366.4869258198992</v>
      </c>
      <c r="CM11" s="219">
        <v>3304.1585471061685</v>
      </c>
      <c r="CN11" s="219">
        <v>3607.6670595860687</v>
      </c>
      <c r="CO11" s="219">
        <v>3705.5515536847829</v>
      </c>
      <c r="CP11" s="219">
        <v>3790.8489947677585</v>
      </c>
      <c r="CQ11" s="219">
        <v>3531.2928551244145</v>
      </c>
      <c r="CR11" s="219">
        <v>3494.3870986204756</v>
      </c>
      <c r="CS11" s="219">
        <v>3863.3957743320002</v>
      </c>
      <c r="CT11" s="219">
        <v>3903.6284593802984</v>
      </c>
      <c r="CU11" s="219">
        <v>4195.0525824696588</v>
      </c>
      <c r="CV11" s="219">
        <v>4396.5166595352684</v>
      </c>
      <c r="CW11" s="219">
        <v>4692.2958556837775</v>
      </c>
      <c r="CX11" s="219">
        <v>4679.1256934232451</v>
      </c>
      <c r="CY11" s="219">
        <v>5424.4404569932885</v>
      </c>
      <c r="CZ11" s="219">
        <v>5671.2058819970607</v>
      </c>
      <c r="DA11" s="219">
        <v>5232.5500252560287</v>
      </c>
      <c r="DB11" s="219">
        <v>5069.7523323599917</v>
      </c>
      <c r="DC11" s="219">
        <v>4856.5029414023993</v>
      </c>
      <c r="DD11" s="219">
        <v>3687.7789010940828</v>
      </c>
      <c r="DE11" s="219">
        <v>3686.6460101301191</v>
      </c>
      <c r="DF11" s="219">
        <v>4227.3938952341368</v>
      </c>
      <c r="DG11" s="219">
        <v>6774.9362267099268</v>
      </c>
      <c r="DH11" s="219">
        <v>6970.2793142038217</v>
      </c>
      <c r="DI11" s="219">
        <v>6550.7383676757081</v>
      </c>
      <c r="DJ11" s="219">
        <v>6420.5354663374546</v>
      </c>
      <c r="DK11" s="219">
        <v>6839.5804828632827</v>
      </c>
      <c r="DL11" s="219">
        <v>8312.1736742620178</v>
      </c>
      <c r="DM11" s="219">
        <v>9216.1748459024529</v>
      </c>
      <c r="DN11" s="219">
        <v>8169.4402397946596</v>
      </c>
      <c r="DO11" s="219">
        <v>8464.3923396814589</v>
      </c>
      <c r="DP11" s="219">
        <v>13350.625399041399</v>
      </c>
      <c r="DQ11" s="219">
        <v>15428.51587864375</v>
      </c>
      <c r="DR11" s="219">
        <v>16046.038154293195</v>
      </c>
      <c r="DS11" s="219">
        <v>18544.273021638804</v>
      </c>
      <c r="DT11" s="220">
        <v>0.49072762583684226</v>
      </c>
      <c r="DU11" s="220">
        <v>0.4920159593750682</v>
      </c>
      <c r="DV11" s="220">
        <v>0.47588059214061568</v>
      </c>
      <c r="DW11" s="220">
        <v>0.45569990415611339</v>
      </c>
      <c r="DX11" s="220">
        <v>0.46529275527556213</v>
      </c>
      <c r="DY11" s="220">
        <v>0.55591960034914156</v>
      </c>
      <c r="DZ11" s="220">
        <v>0.64283019472837943</v>
      </c>
      <c r="EA11" s="220">
        <v>0.58444573632413555</v>
      </c>
      <c r="EB11" s="220">
        <v>0.63406172157675522</v>
      </c>
      <c r="EC11" s="220">
        <v>1.083757869114405</v>
      </c>
      <c r="ED11" s="220">
        <v>1.1956715478250521</v>
      </c>
      <c r="EE11" s="220">
        <v>1.1887435384158735</v>
      </c>
      <c r="EF11" s="220">
        <v>1.2917844812834174</v>
      </c>
      <c r="EG11" s="221">
        <v>2362</v>
      </c>
      <c r="EH11" s="221">
        <v>3137</v>
      </c>
      <c r="EI11" s="221">
        <v>4508</v>
      </c>
      <c r="EJ11" s="221">
        <v>2562.04</v>
      </c>
      <c r="EK11" s="221">
        <v>3823.41</v>
      </c>
      <c r="EL11" s="221">
        <v>5309.75</v>
      </c>
      <c r="EM11" s="221">
        <v>7459</v>
      </c>
      <c r="EN11" s="221">
        <v>4825</v>
      </c>
      <c r="EO11" s="222">
        <v>0.3</v>
      </c>
      <c r="EP11" s="222">
        <v>0.3</v>
      </c>
      <c r="EQ11" s="222">
        <v>0.3</v>
      </c>
      <c r="ER11" s="222">
        <v>0.3</v>
      </c>
      <c r="ES11" s="222">
        <v>0.3</v>
      </c>
      <c r="ET11" s="222">
        <v>0.3</v>
      </c>
      <c r="EU11" s="222">
        <v>0.3</v>
      </c>
      <c r="EV11" s="222">
        <v>0.3</v>
      </c>
      <c r="EW11" s="222">
        <v>0.4</v>
      </c>
      <c r="EX11" s="222">
        <v>0.4</v>
      </c>
      <c r="EY11" s="222">
        <v>0.4</v>
      </c>
      <c r="EZ11" s="222">
        <v>0.4</v>
      </c>
      <c r="FA11" s="222">
        <v>0.4</v>
      </c>
      <c r="FB11" s="222">
        <v>0.4</v>
      </c>
      <c r="FC11" s="222">
        <v>0.5</v>
      </c>
      <c r="FD11" s="223">
        <v>0.5</v>
      </c>
      <c r="FE11" s="223">
        <v>0.5</v>
      </c>
      <c r="FF11" s="223">
        <v>0.6</v>
      </c>
      <c r="FG11" s="223">
        <v>0.6</v>
      </c>
      <c r="FH11" s="223">
        <v>0.6</v>
      </c>
      <c r="FI11" s="223">
        <v>0.6</v>
      </c>
      <c r="FJ11" s="223">
        <v>0.6</v>
      </c>
      <c r="FK11" s="223">
        <v>0.6</v>
      </c>
      <c r="FL11" s="223">
        <v>0.6</v>
      </c>
      <c r="FM11" s="223">
        <v>0.6</v>
      </c>
      <c r="FN11" s="223">
        <v>0.5</v>
      </c>
      <c r="FO11" s="223">
        <v>0.5</v>
      </c>
      <c r="FP11" s="223">
        <v>0.5</v>
      </c>
      <c r="FQ11" s="223">
        <v>0.6</v>
      </c>
      <c r="FR11" s="223">
        <v>0.6</v>
      </c>
      <c r="FS11" s="223">
        <v>0.6</v>
      </c>
      <c r="FT11" s="223">
        <v>0.6</v>
      </c>
      <c r="FU11" s="223">
        <v>0.8</v>
      </c>
      <c r="FV11" s="223">
        <v>0.8</v>
      </c>
      <c r="FW11" s="223">
        <v>0.7</v>
      </c>
      <c r="FX11" s="223">
        <v>0.7</v>
      </c>
      <c r="FY11" s="223">
        <v>1.3</v>
      </c>
      <c r="FZ11" s="223" t="s">
        <v>3468</v>
      </c>
      <c r="GA11" s="223" t="s">
        <v>3468</v>
      </c>
      <c r="GB11" s="223" t="s">
        <v>3468</v>
      </c>
      <c r="GC11" s="223" t="s">
        <v>3468</v>
      </c>
      <c r="GD11" s="223" t="s">
        <v>3468</v>
      </c>
      <c r="GE11" s="223" t="s">
        <v>3468</v>
      </c>
      <c r="GF11" s="223" t="s">
        <v>3468</v>
      </c>
      <c r="GG11" s="223">
        <v>286.43814843749999</v>
      </c>
      <c r="GH11" s="223">
        <v>299.70543750000002</v>
      </c>
      <c r="GI11" s="223">
        <v>306.86746875</v>
      </c>
      <c r="GJ11" s="223">
        <v>324.1940390625</v>
      </c>
      <c r="GK11" s="223">
        <v>339.11617968749999</v>
      </c>
      <c r="GL11" s="223">
        <v>334.93096875000003</v>
      </c>
      <c r="GM11" s="223">
        <v>330.9608203125</v>
      </c>
      <c r="GN11" s="223">
        <v>344.53232812499999</v>
      </c>
      <c r="GO11" s="223">
        <v>445.1916875</v>
      </c>
      <c r="GP11" s="223">
        <v>486.18684375000004</v>
      </c>
      <c r="GQ11" s="223">
        <v>514.62678125000002</v>
      </c>
      <c r="GR11" s="223">
        <v>510.38037500000002</v>
      </c>
      <c r="GS11" s="223">
        <v>510.64796875000002</v>
      </c>
      <c r="GT11" s="223">
        <v>558.01106249999998</v>
      </c>
      <c r="GU11" s="223">
        <v>744.97304687500002</v>
      </c>
      <c r="GV11" s="223">
        <v>714.73023437500001</v>
      </c>
      <c r="GW11" s="223">
        <v>814.17679687500004</v>
      </c>
      <c r="GX11" s="223">
        <v>1050.3905625</v>
      </c>
      <c r="GY11" s="223">
        <v>1101.6253125000001</v>
      </c>
      <c r="GZ11" s="223">
        <v>1083.00384375</v>
      </c>
      <c r="HA11" s="223">
        <v>1167.5682187499999</v>
      </c>
      <c r="HB11" s="223">
        <v>1403.9053125</v>
      </c>
      <c r="HC11" s="223">
        <v>1690.2455625</v>
      </c>
      <c r="HD11" s="223">
        <v>1952.3139375000001</v>
      </c>
      <c r="HE11" s="223">
        <v>2276.8211249999999</v>
      </c>
      <c r="HF11" s="223">
        <v>2095.7956250000002</v>
      </c>
      <c r="HG11" s="223">
        <v>2688.4665625000002</v>
      </c>
      <c r="HH11" s="223">
        <v>2801.0362500000001</v>
      </c>
      <c r="HI11" s="223">
        <v>3389.548875</v>
      </c>
      <c r="HJ11" s="223">
        <v>3185.2717499999999</v>
      </c>
      <c r="HK11" s="223">
        <v>3154.948875</v>
      </c>
      <c r="HL11" s="223">
        <v>2946.7044375</v>
      </c>
      <c r="HM11" s="223">
        <v>3631.4375</v>
      </c>
      <c r="HN11" s="223">
        <v>3834.0260000000003</v>
      </c>
      <c r="HO11" s="223">
        <v>3621.1625624999997</v>
      </c>
      <c r="HP11" s="223">
        <v>3896.5526249999998</v>
      </c>
      <c r="HQ11" s="223">
        <v>7882.0381250000009</v>
      </c>
      <c r="HR11" s="223" t="e">
        <v>#VALUE!</v>
      </c>
      <c r="HS11" s="223" t="e">
        <v>#VALUE!</v>
      </c>
      <c r="HT11" s="223" t="e">
        <v>#VALUE!</v>
      </c>
      <c r="HU11" s="223" t="e">
        <v>#VALUE!</v>
      </c>
      <c r="HV11" s="223" t="e">
        <v>#VALUE!</v>
      </c>
      <c r="HW11" s="223" t="e">
        <v>#VALUE!</v>
      </c>
      <c r="HX11" s="223" t="e">
        <v>#VALUE!</v>
      </c>
      <c r="HY11" s="224">
        <v>1662.2165841907349</v>
      </c>
      <c r="HZ11" s="224">
        <v>1704.2041817921283</v>
      </c>
      <c r="IA11" s="224">
        <v>1710.5038452791446</v>
      </c>
      <c r="IB11" s="224">
        <v>1772.1215290076811</v>
      </c>
      <c r="IC11" s="224">
        <v>1818.5064810360971</v>
      </c>
      <c r="ID11" s="224">
        <v>1762.6090345753082</v>
      </c>
      <c r="IE11" s="224">
        <v>1709.8669468519743</v>
      </c>
      <c r="IF11" s="224">
        <v>1748.0183954696834</v>
      </c>
      <c r="IG11" s="224">
        <v>2218.8779978089915</v>
      </c>
      <c r="IH11" s="224">
        <v>2381.1958008616029</v>
      </c>
      <c r="II11" s="224">
        <v>2477.5380987112271</v>
      </c>
      <c r="IJ11" s="224">
        <v>2397.7853036136212</v>
      </c>
      <c r="IK11" s="224">
        <v>2342.4990270321746</v>
      </c>
      <c r="IL11" s="224">
        <v>2500.8256930813609</v>
      </c>
      <c r="IM11" s="224">
        <v>3263.5803449610949</v>
      </c>
      <c r="IN11" s="224">
        <v>3062.1687110965827</v>
      </c>
      <c r="IO11" s="224">
        <v>3413.1030794260773</v>
      </c>
      <c r="IP11" s="224">
        <v>4310.4907655195066</v>
      </c>
      <c r="IQ11" s="224">
        <v>4427.3937669949482</v>
      </c>
      <c r="IR11" s="224">
        <v>4264.4967913614755</v>
      </c>
      <c r="IS11" s="224">
        <v>4506.3135408565986</v>
      </c>
      <c r="IT11" s="224">
        <v>5313.113802538659</v>
      </c>
      <c r="IU11" s="224">
        <v>6227.9563756349107</v>
      </c>
      <c r="IV11" s="224">
        <v>7008.6191345460029</v>
      </c>
      <c r="IW11" s="224">
        <v>7968.6727285136049</v>
      </c>
      <c r="IX11" s="224">
        <v>7155.7190730801285</v>
      </c>
      <c r="IY11" s="224">
        <v>8960.1663825440392</v>
      </c>
      <c r="IZ11" s="224">
        <v>9117.6894231614315</v>
      </c>
      <c r="JA11" s="224">
        <v>10781.985246754239</v>
      </c>
      <c r="JB11" s="224">
        <v>9906.4850062512833</v>
      </c>
      <c r="JC11" s="224">
        <v>9598.3646768371436</v>
      </c>
      <c r="JD11" s="224">
        <v>8773.6354764946009</v>
      </c>
      <c r="JE11" s="224">
        <v>10573.197410597877</v>
      </c>
      <c r="JF11" s="224">
        <v>10921.446504730686</v>
      </c>
      <c r="JG11" s="224">
        <v>10096.572158517598</v>
      </c>
      <c r="JH11" s="224">
        <v>10639.035268642319</v>
      </c>
      <c r="JI11" s="224">
        <v>21083.512144654131</v>
      </c>
      <c r="JJ11" s="224"/>
      <c r="JK11" s="224"/>
      <c r="JL11" s="224"/>
      <c r="JM11" s="224"/>
      <c r="JN11" s="224"/>
      <c r="JO11" s="224"/>
      <c r="JP11" s="224"/>
    </row>
    <row r="12" spans="1:276" s="225" customFormat="1" ht="14" customHeight="1">
      <c r="A12" s="217" t="s">
        <v>665</v>
      </c>
      <c r="B12" s="217" t="s">
        <v>640</v>
      </c>
      <c r="C12" s="217">
        <v>4</v>
      </c>
      <c r="D12" s="217" t="s">
        <v>641</v>
      </c>
      <c r="E12" s="218">
        <v>165.6476054488013</v>
      </c>
      <c r="F12" s="218">
        <v>158.55760493841674</v>
      </c>
      <c r="G12" s="218">
        <v>174.41302257882052</v>
      </c>
      <c r="H12" s="218">
        <v>165.36198852050788</v>
      </c>
      <c r="I12" s="218">
        <v>191.48072160496943</v>
      </c>
      <c r="J12" s="218">
        <v>162.3894705350074</v>
      </c>
      <c r="K12" s="218">
        <v>150.92389541520907</v>
      </c>
      <c r="L12" s="218">
        <v>160.23939241717162</v>
      </c>
      <c r="M12" s="218">
        <v>167.44385544070389</v>
      </c>
      <c r="N12" s="218">
        <v>138.77183603147665</v>
      </c>
      <c r="O12" s="218">
        <v>131.09413246861081</v>
      </c>
      <c r="P12" s="218">
        <v>138.19775272683114</v>
      </c>
      <c r="Q12" s="218">
        <v>152.43508091946032</v>
      </c>
      <c r="R12" s="218">
        <v>162.97432694169751</v>
      </c>
      <c r="S12" s="218">
        <v>151.35652172879614</v>
      </c>
      <c r="T12" s="218">
        <v>163.29255862494156</v>
      </c>
      <c r="U12" s="218">
        <v>180.43862897767914</v>
      </c>
      <c r="V12" s="218">
        <v>169.85680041175502</v>
      </c>
      <c r="W12" s="218">
        <v>166.8147941693058</v>
      </c>
      <c r="X12" s="218">
        <v>169.81714597681267</v>
      </c>
      <c r="Y12" s="218">
        <v>136.78502009621175</v>
      </c>
      <c r="Z12" s="218">
        <v>138.8135852210587</v>
      </c>
      <c r="AA12" s="218">
        <v>131.9752382453386</v>
      </c>
      <c r="AB12" s="218">
        <v>135.23755801332194</v>
      </c>
      <c r="AC12" s="218">
        <v>125.12722748602258</v>
      </c>
      <c r="AD12" s="218">
        <v>112.4962799099734</v>
      </c>
      <c r="AE12" s="218">
        <v>119.37267662790923</v>
      </c>
      <c r="AF12" s="218">
        <v>144.17536430541244</v>
      </c>
      <c r="AG12" s="218">
        <v>118.7290770596249</v>
      </c>
      <c r="AH12" s="218">
        <v>139.441103783156</v>
      </c>
      <c r="AI12" s="218">
        <v>130.85861760808845</v>
      </c>
      <c r="AJ12" s="218">
        <v>130.99919236492033</v>
      </c>
      <c r="AK12" s="218">
        <v>129.46183725686609</v>
      </c>
      <c r="AL12" s="218">
        <v>142.5264959746703</v>
      </c>
      <c r="AM12" s="218">
        <v>136.70291117718358</v>
      </c>
      <c r="AN12" s="218">
        <v>137.39262943537605</v>
      </c>
      <c r="AO12" s="218">
        <v>139.50550719215167</v>
      </c>
      <c r="AP12" s="218">
        <v>140.8327527024739</v>
      </c>
      <c r="AQ12" s="218">
        <v>141.10245488341269</v>
      </c>
      <c r="AR12" s="218">
        <v>129.30288946380549</v>
      </c>
      <c r="AS12" s="218">
        <v>117.49399510555313</v>
      </c>
      <c r="AT12" s="218">
        <v>4385.7052091150645</v>
      </c>
      <c r="AU12" s="218">
        <v>4144.1088464773093</v>
      </c>
      <c r="AV12" s="218">
        <v>4351.6249940300968</v>
      </c>
      <c r="AW12" s="218">
        <v>4784.5833979470599</v>
      </c>
      <c r="AX12" s="218">
        <v>5119.8837770476803</v>
      </c>
      <c r="AY12" s="218">
        <v>4765.5971697153236</v>
      </c>
      <c r="AZ12" s="218">
        <v>5268.6490197577423</v>
      </c>
      <c r="BA12" s="218">
        <v>5861.3584771094629</v>
      </c>
      <c r="BB12" s="218">
        <v>5602.796176870299</v>
      </c>
      <c r="BC12" s="218">
        <v>5466.2128076722929</v>
      </c>
      <c r="BD12" s="218">
        <v>5581.6615673671931</v>
      </c>
      <c r="BE12" s="218">
        <v>4501.9517601084099</v>
      </c>
      <c r="BF12" s="218">
        <v>4592.1431741154984</v>
      </c>
      <c r="BG12" s="218">
        <v>4357.7219140574352</v>
      </c>
      <c r="BH12" s="218">
        <v>4465.4077394817677</v>
      </c>
      <c r="BI12" s="218">
        <v>4184.0535590632517</v>
      </c>
      <c r="BJ12" s="218">
        <v>3705.0538248566681</v>
      </c>
      <c r="BK12" s="218">
        <v>3908.3280060364232</v>
      </c>
      <c r="BL12" s="218">
        <v>4732.5567527585836</v>
      </c>
      <c r="BM12" s="218">
        <v>3954.8412586624636</v>
      </c>
      <c r="BN12" s="218">
        <v>4610.1263604683709</v>
      </c>
      <c r="BO12" s="218">
        <v>4247.9870827775894</v>
      </c>
      <c r="BP12" s="218">
        <v>4234.606195161894</v>
      </c>
      <c r="BQ12" s="218">
        <v>4213.312406466448</v>
      </c>
      <c r="BR12" s="218">
        <v>4513.3458051769412</v>
      </c>
      <c r="BS12" s="218">
        <v>4486.7362492666098</v>
      </c>
      <c r="BT12" s="218">
        <v>4568.2939394273408</v>
      </c>
      <c r="BU12" s="218">
        <v>4718.0387642251226</v>
      </c>
      <c r="BV12" s="218">
        <v>5692.2002827120905</v>
      </c>
      <c r="BW12" s="218">
        <v>5386.6281661288504</v>
      </c>
      <c r="BX12" s="218">
        <v>5340.0751228347353</v>
      </c>
      <c r="BY12" s="218">
        <v>5114.0040857867061</v>
      </c>
      <c r="BZ12" s="218">
        <v>4877.4668105315468</v>
      </c>
      <c r="CA12" s="218">
        <v>5126.4665886577141</v>
      </c>
      <c r="CB12" s="218">
        <v>5318.4295252118582</v>
      </c>
      <c r="CC12" s="218">
        <v>5678.129036811114</v>
      </c>
      <c r="CD12" s="219">
        <v>3341.7264400526742</v>
      </c>
      <c r="CE12" s="219">
        <v>3910.9351635450007</v>
      </c>
      <c r="CF12" s="219">
        <v>3846.2758837946608</v>
      </c>
      <c r="CG12" s="219">
        <v>4403.6880990535892</v>
      </c>
      <c r="CH12" s="219">
        <v>4625.7752494075485</v>
      </c>
      <c r="CI12" s="219">
        <v>4142.5436124683501</v>
      </c>
      <c r="CJ12" s="219">
        <v>4188.9475351620531</v>
      </c>
      <c r="CK12" s="219">
        <v>4480.3313574056838</v>
      </c>
      <c r="CL12" s="219">
        <v>4439.1333750291587</v>
      </c>
      <c r="CM12" s="219">
        <v>4451.7984626214056</v>
      </c>
      <c r="CN12" s="219">
        <v>4767.351942223193</v>
      </c>
      <c r="CO12" s="219">
        <v>4419.1352283047872</v>
      </c>
      <c r="CP12" s="219">
        <v>4705.6239771268083</v>
      </c>
      <c r="CQ12" s="219">
        <v>4344.7892623506168</v>
      </c>
      <c r="CR12" s="219">
        <v>4407.6105197741836</v>
      </c>
      <c r="CS12" s="219">
        <v>4765.2551295892999</v>
      </c>
      <c r="CT12" s="219">
        <v>5390.4275110620656</v>
      </c>
      <c r="CU12" s="219">
        <v>5296.5528802154931</v>
      </c>
      <c r="CV12" s="219">
        <v>5551.7274735164492</v>
      </c>
      <c r="CW12" s="219">
        <v>5361.824529893207</v>
      </c>
      <c r="CX12" s="219">
        <v>5728.2882654399673</v>
      </c>
      <c r="CY12" s="219">
        <v>6398.3835254138339</v>
      </c>
      <c r="CZ12" s="219">
        <v>6414.9404046934415</v>
      </c>
      <c r="DA12" s="219">
        <v>6834.1425545502743</v>
      </c>
      <c r="DB12" s="219">
        <v>5777.7901177084568</v>
      </c>
      <c r="DC12" s="219">
        <v>5526.484744089772</v>
      </c>
      <c r="DD12" s="219">
        <v>4835.2510805875554</v>
      </c>
      <c r="DE12" s="219">
        <v>5262.9667185764238</v>
      </c>
      <c r="DF12" s="219">
        <v>5893.7995771563583</v>
      </c>
      <c r="DG12" s="219">
        <v>5178.1904143619568</v>
      </c>
      <c r="DH12" s="219">
        <v>5340.569764093606</v>
      </c>
      <c r="DI12" s="219">
        <v>5613.1760116722717</v>
      </c>
      <c r="DJ12" s="219">
        <v>5625.7321666542412</v>
      </c>
      <c r="DK12" s="219">
        <v>5817.1577293944665</v>
      </c>
      <c r="DL12" s="219">
        <v>5692.2002827120905</v>
      </c>
      <c r="DM12" s="219">
        <v>5386.6281661288504</v>
      </c>
      <c r="DN12" s="219">
        <v>5340.0751228347353</v>
      </c>
      <c r="DO12" s="219">
        <v>5114.0040857867061</v>
      </c>
      <c r="DP12" s="219">
        <v>4877.4668105315468</v>
      </c>
      <c r="DQ12" s="219">
        <v>5126.4665886577141</v>
      </c>
      <c r="DR12" s="219">
        <v>5318.4295252118582</v>
      </c>
      <c r="DS12" s="219">
        <v>5678.129036811114</v>
      </c>
      <c r="DT12" s="220">
        <v>1.1714710049118469</v>
      </c>
      <c r="DU12" s="220">
        <v>1.1679386758396801</v>
      </c>
      <c r="DV12" s="220">
        <v>1.2535750915114137</v>
      </c>
      <c r="DW12" s="220">
        <v>1.2183935586600876</v>
      </c>
      <c r="DX12" s="220">
        <v>1.1989569875276174</v>
      </c>
      <c r="DY12" s="220">
        <v>1.1454844663081254</v>
      </c>
      <c r="DZ12" s="220">
        <v>1.1230616609394724</v>
      </c>
      <c r="EA12" s="220">
        <v>1.1346892174944807</v>
      </c>
      <c r="EB12" s="220">
        <v>1.1308692612019116</v>
      </c>
      <c r="EC12" s="220">
        <v>1.1531519264025092</v>
      </c>
      <c r="ED12" s="220">
        <v>1.1420679877142232</v>
      </c>
      <c r="EE12" s="220">
        <v>1.1183671989315886</v>
      </c>
      <c r="EF12" s="220">
        <v>1.1089777835152725</v>
      </c>
      <c r="EG12" s="221">
        <v>3399</v>
      </c>
      <c r="EH12" s="221">
        <v>3385</v>
      </c>
      <c r="EI12" s="221">
        <v>4335</v>
      </c>
      <c r="EJ12" s="221">
        <v>3933.49</v>
      </c>
      <c r="EK12" s="221">
        <v>4787.16</v>
      </c>
      <c r="EL12" s="221">
        <v>4042.11</v>
      </c>
      <c r="EM12" s="221">
        <v>6711</v>
      </c>
      <c r="EN12" s="221">
        <v>3853</v>
      </c>
      <c r="EO12" s="222">
        <v>1</v>
      </c>
      <c r="EP12" s="222">
        <v>0.9</v>
      </c>
      <c r="EQ12" s="222">
        <v>1</v>
      </c>
      <c r="ER12" s="222">
        <v>1</v>
      </c>
      <c r="ES12" s="222">
        <v>1.1000000000000001</v>
      </c>
      <c r="ET12" s="222">
        <v>1</v>
      </c>
      <c r="EU12" s="222">
        <v>1.1000000000000001</v>
      </c>
      <c r="EV12" s="222">
        <v>1.2</v>
      </c>
      <c r="EW12" s="222">
        <v>1.2</v>
      </c>
      <c r="EX12" s="222">
        <v>1.1000000000000001</v>
      </c>
      <c r="EY12" s="222">
        <v>1.2</v>
      </c>
      <c r="EZ12" s="222">
        <v>1</v>
      </c>
      <c r="FA12" s="222">
        <v>1.1000000000000001</v>
      </c>
      <c r="FB12" s="222">
        <v>1</v>
      </c>
      <c r="FC12" s="222">
        <v>1</v>
      </c>
      <c r="FD12" s="223">
        <v>1</v>
      </c>
      <c r="FE12" s="223">
        <v>0.9</v>
      </c>
      <c r="FF12" s="223">
        <v>0.9</v>
      </c>
      <c r="FG12" s="223">
        <v>1.1000000000000001</v>
      </c>
      <c r="FH12" s="223">
        <v>1</v>
      </c>
      <c r="FI12" s="223">
        <v>1.3</v>
      </c>
      <c r="FJ12" s="223">
        <v>1.1000000000000001</v>
      </c>
      <c r="FK12" s="223">
        <v>1</v>
      </c>
      <c r="FL12" s="223">
        <v>1</v>
      </c>
      <c r="FM12" s="223">
        <v>1</v>
      </c>
      <c r="FN12" s="223">
        <v>1</v>
      </c>
      <c r="FO12" s="223">
        <v>1</v>
      </c>
      <c r="FP12" s="223">
        <v>1</v>
      </c>
      <c r="FQ12" s="223">
        <v>0.8</v>
      </c>
      <c r="FR12" s="223">
        <v>0.8</v>
      </c>
      <c r="FS12" s="223">
        <v>0.9</v>
      </c>
      <c r="FT12" s="223">
        <v>0.9</v>
      </c>
      <c r="FU12" s="223">
        <v>0.9</v>
      </c>
      <c r="FV12" s="223">
        <v>0.9</v>
      </c>
      <c r="FW12" s="223">
        <v>0.9</v>
      </c>
      <c r="FX12" s="223">
        <v>1.2</v>
      </c>
      <c r="FY12" s="223">
        <v>1.1000000000000001</v>
      </c>
      <c r="FZ12" s="223">
        <v>1</v>
      </c>
      <c r="GA12" s="223">
        <v>1.1000000000000001</v>
      </c>
      <c r="GB12" s="223" t="s">
        <v>3468</v>
      </c>
      <c r="GC12" s="223" t="s">
        <v>3468</v>
      </c>
      <c r="GD12" s="223" t="s">
        <v>3468</v>
      </c>
      <c r="GE12" s="223" t="s">
        <v>3468</v>
      </c>
      <c r="GF12" s="223" t="s">
        <v>3468</v>
      </c>
      <c r="GG12" s="223">
        <v>954.793828125</v>
      </c>
      <c r="GH12" s="223">
        <v>899.11631250000005</v>
      </c>
      <c r="GI12" s="223">
        <v>1022.8915625000001</v>
      </c>
      <c r="GJ12" s="223">
        <v>1080.6467968750001</v>
      </c>
      <c r="GK12" s="223">
        <v>1243.4259921875</v>
      </c>
      <c r="GL12" s="223">
        <v>1116.4365625</v>
      </c>
      <c r="GM12" s="223">
        <v>1213.5230078125001</v>
      </c>
      <c r="GN12" s="223">
        <v>1378.1293125</v>
      </c>
      <c r="GO12" s="223">
        <v>1335.5750625000001</v>
      </c>
      <c r="GP12" s="223">
        <v>1337.0138203125002</v>
      </c>
      <c r="GQ12" s="223">
        <v>1543.8803437500001</v>
      </c>
      <c r="GR12" s="223">
        <v>1275.9509375</v>
      </c>
      <c r="GS12" s="223">
        <v>1404.2819140625002</v>
      </c>
      <c r="GT12" s="223">
        <v>1395.0276562500001</v>
      </c>
      <c r="GU12" s="223">
        <v>1489.94609375</v>
      </c>
      <c r="GV12" s="223">
        <v>1429.46046875</v>
      </c>
      <c r="GW12" s="223">
        <v>1465.5182343750002</v>
      </c>
      <c r="GX12" s="223">
        <v>1575.5858437500001</v>
      </c>
      <c r="GY12" s="223">
        <v>2019.6464062500002</v>
      </c>
      <c r="GZ12" s="223">
        <v>1805.0064062500001</v>
      </c>
      <c r="HA12" s="223">
        <v>2529.7311406250001</v>
      </c>
      <c r="HB12" s="223">
        <v>2573.8264062500002</v>
      </c>
      <c r="HC12" s="223">
        <v>2817.0759375000002</v>
      </c>
      <c r="HD12" s="223">
        <v>3253.8565625000001</v>
      </c>
      <c r="HE12" s="223">
        <v>3794.7018750000002</v>
      </c>
      <c r="HF12" s="223">
        <v>4191.5912500000004</v>
      </c>
      <c r="HG12" s="223">
        <v>5376.9331250000005</v>
      </c>
      <c r="HH12" s="223">
        <v>5602.0725000000002</v>
      </c>
      <c r="HI12" s="223">
        <v>4519.3985000000002</v>
      </c>
      <c r="HJ12" s="223">
        <v>4247.0290000000005</v>
      </c>
      <c r="HK12" s="223">
        <v>4732.423312500001</v>
      </c>
      <c r="HL12" s="223">
        <v>4420.0566562500007</v>
      </c>
      <c r="HM12" s="223">
        <v>4085.3671875000005</v>
      </c>
      <c r="HN12" s="223">
        <v>4313.2792500000005</v>
      </c>
      <c r="HO12" s="223">
        <v>4655.7804375000005</v>
      </c>
      <c r="HP12" s="223">
        <v>6679.8045000000002</v>
      </c>
      <c r="HQ12" s="223">
        <v>6669.4168750000008</v>
      </c>
      <c r="HR12" s="223">
        <v>6603.1793749999997</v>
      </c>
      <c r="HS12" s="223">
        <v>7624.5929375000005</v>
      </c>
      <c r="HT12" s="223" t="e">
        <v>#VALUE!</v>
      </c>
      <c r="HU12" s="223" t="e">
        <v>#VALUE!</v>
      </c>
      <c r="HV12" s="223" t="e">
        <v>#VALUE!</v>
      </c>
      <c r="HW12" s="223" t="e">
        <v>#VALUE!</v>
      </c>
      <c r="HX12" s="223" t="e">
        <v>#VALUE!</v>
      </c>
      <c r="HY12" s="224">
        <v>1685.0898728497227</v>
      </c>
      <c r="HZ12" s="224">
        <v>1549.9576230208058</v>
      </c>
      <c r="IA12" s="224">
        <v>1723.2906488683368</v>
      </c>
      <c r="IB12" s="224">
        <v>1780.1707790767994</v>
      </c>
      <c r="IC12" s="224">
        <v>2003.8302948626051</v>
      </c>
      <c r="ID12" s="224">
        <v>1760.9340065693748</v>
      </c>
      <c r="IE12" s="224">
        <v>1874.2235406855559</v>
      </c>
      <c r="IF12" s="224">
        <v>2085.0472904266426</v>
      </c>
      <c r="IG12" s="224">
        <v>1980.2837725792301</v>
      </c>
      <c r="IH12" s="224">
        <v>1943.5767057434937</v>
      </c>
      <c r="II12" s="224">
        <v>2201.1661720549992</v>
      </c>
      <c r="IJ12" s="224">
        <v>1787.1378406589381</v>
      </c>
      <c r="IK12" s="224">
        <v>1932.8489830933481</v>
      </c>
      <c r="IL12" s="224">
        <v>1887.4525255907445</v>
      </c>
      <c r="IM12" s="224">
        <v>1982.1614892797438</v>
      </c>
      <c r="IN12" s="224">
        <v>1870.4123988703052</v>
      </c>
      <c r="IO12" s="224">
        <v>1886.560457756131</v>
      </c>
      <c r="IP12" s="224">
        <v>1995.9497207057764</v>
      </c>
      <c r="IQ12" s="224">
        <v>2518.3788191027438</v>
      </c>
      <c r="IR12" s="224">
        <v>2215.9981141738822</v>
      </c>
      <c r="IS12" s="224">
        <v>3058.5345066985637</v>
      </c>
      <c r="IT12" s="224">
        <v>3065.2577196350503</v>
      </c>
      <c r="IU12" s="224">
        <v>3295.3856807478514</v>
      </c>
      <c r="IV12" s="224">
        <v>3739.9257343749496</v>
      </c>
      <c r="IW12" s="224">
        <v>4286.7810421503327</v>
      </c>
      <c r="IX12" s="224">
        <v>4655.3176864457737</v>
      </c>
      <c r="IY12" s="224">
        <v>5872.8000618197166</v>
      </c>
      <c r="IZ12" s="224">
        <v>6018.923909409169</v>
      </c>
      <c r="JA12" s="224">
        <v>4777.7763447239613</v>
      </c>
      <c r="JB12" s="224">
        <v>4418.9316267862641</v>
      </c>
      <c r="JC12" s="224">
        <v>4847.4221001779933</v>
      </c>
      <c r="JD12" s="224">
        <v>4458.1560579209936</v>
      </c>
      <c r="JE12" s="224">
        <v>4084.1088735560579</v>
      </c>
      <c r="JF12" s="224">
        <v>4274.1189176526841</v>
      </c>
      <c r="JG12" s="224">
        <v>4573.3849620089586</v>
      </c>
      <c r="JH12" s="224">
        <v>6505.0122196530347</v>
      </c>
      <c r="JI12" s="224">
        <v>6439.3728554868749</v>
      </c>
      <c r="JJ12" s="224">
        <v>6321.3804522339969</v>
      </c>
      <c r="JK12" s="224">
        <v>7237.854125578775</v>
      </c>
      <c r="JL12" s="224"/>
      <c r="JM12" s="224"/>
      <c r="JN12" s="224"/>
      <c r="JO12" s="224"/>
      <c r="JP12" s="224"/>
    </row>
    <row r="13" spans="1:276" s="225" customFormat="1" ht="14" customHeight="1">
      <c r="A13" s="217" t="s">
        <v>539</v>
      </c>
      <c r="B13" s="217" t="s">
        <v>540</v>
      </c>
      <c r="C13" s="217">
        <v>5</v>
      </c>
      <c r="D13" s="217" t="s">
        <v>541</v>
      </c>
      <c r="E13" s="218">
        <v>425.65108071146796</v>
      </c>
      <c r="F13" s="218">
        <v>407.00785586557765</v>
      </c>
      <c r="G13" s="218">
        <v>386.07808293363149</v>
      </c>
      <c r="H13" s="218">
        <v>413.76289768958281</v>
      </c>
      <c r="I13" s="218">
        <v>438.8588324068229</v>
      </c>
      <c r="J13" s="218">
        <v>429.15864166405123</v>
      </c>
      <c r="K13" s="218">
        <v>428.01526628777521</v>
      </c>
      <c r="L13" s="218">
        <v>433.73805630637418</v>
      </c>
      <c r="M13" s="218">
        <v>457.41591647108845</v>
      </c>
      <c r="N13" s="218">
        <v>468.36066501390712</v>
      </c>
      <c r="O13" s="218">
        <v>502.68654254465253</v>
      </c>
      <c r="P13" s="218">
        <v>512.17904032253659</v>
      </c>
      <c r="Q13" s="218">
        <v>539.58855595482794</v>
      </c>
      <c r="R13" s="218">
        <v>617.35165424544994</v>
      </c>
      <c r="S13" s="218">
        <v>556.7977383744709</v>
      </c>
      <c r="T13" s="218">
        <v>576.74049042909007</v>
      </c>
      <c r="U13" s="218">
        <v>639.19832725133233</v>
      </c>
      <c r="V13" s="218">
        <v>589.4010544211294</v>
      </c>
      <c r="W13" s="218">
        <v>653.13274380899054</v>
      </c>
      <c r="X13" s="218">
        <v>686.16953366368762</v>
      </c>
      <c r="Y13" s="218">
        <v>704.03496516572329</v>
      </c>
      <c r="Z13" s="218">
        <v>734.98949755853164</v>
      </c>
      <c r="AA13" s="218">
        <v>727.86228849079885</v>
      </c>
      <c r="AB13" s="218">
        <v>727.60598398316995</v>
      </c>
      <c r="AC13" s="218">
        <v>674.4921380415517</v>
      </c>
      <c r="AD13" s="218">
        <v>665.56140554742501</v>
      </c>
      <c r="AE13" s="218">
        <v>645.18612629712698</v>
      </c>
      <c r="AF13" s="218">
        <v>594.53417216439038</v>
      </c>
      <c r="AG13" s="218">
        <v>552.19548347337116</v>
      </c>
      <c r="AH13" s="218">
        <v>502.20677626532284</v>
      </c>
      <c r="AI13" s="218">
        <v>515.4930838260218</v>
      </c>
      <c r="AJ13" s="218">
        <v>574.06769293750676</v>
      </c>
      <c r="AK13" s="218">
        <v>610.21025774559394</v>
      </c>
      <c r="AL13" s="218">
        <v>657.77720480786763</v>
      </c>
      <c r="AM13" s="218">
        <v>629.77091883772096</v>
      </c>
      <c r="AN13" s="218">
        <v>629.91831665461359</v>
      </c>
      <c r="AO13" s="218">
        <v>646.0763296836293</v>
      </c>
      <c r="AP13" s="218">
        <v>657.09493767095421</v>
      </c>
      <c r="AQ13" s="218">
        <v>670.09613776993626</v>
      </c>
      <c r="AR13" s="218">
        <v>635.4455218853783</v>
      </c>
      <c r="AS13" s="218">
        <v>609.87530724211865</v>
      </c>
      <c r="AT13" s="218">
        <v>14801.935803675415</v>
      </c>
      <c r="AU13" s="218">
        <v>15842.418941711549</v>
      </c>
      <c r="AV13" s="218">
        <v>16043.124570966231</v>
      </c>
      <c r="AW13" s="218">
        <v>16823.307516900873</v>
      </c>
      <c r="AX13" s="218">
        <v>19250.420759690198</v>
      </c>
      <c r="AY13" s="218">
        <v>17399.517834166771</v>
      </c>
      <c r="AZ13" s="218">
        <v>18477.83713655694</v>
      </c>
      <c r="BA13" s="218">
        <v>20639.253615801837</v>
      </c>
      <c r="BB13" s="218">
        <v>19355.028448241443</v>
      </c>
      <c r="BC13" s="218">
        <v>21349.584799518896</v>
      </c>
      <c r="BD13" s="218">
        <v>22553.471221756543</v>
      </c>
      <c r="BE13" s="218">
        <v>23107.015271813576</v>
      </c>
      <c r="BF13" s="218">
        <v>24195.531242070385</v>
      </c>
      <c r="BG13" s="218">
        <v>23880.573775349494</v>
      </c>
      <c r="BH13" s="218">
        <v>23850.739980416951</v>
      </c>
      <c r="BI13" s="218">
        <v>22382.850081429839</v>
      </c>
      <c r="BJ13" s="218">
        <v>21757.597604282528</v>
      </c>
      <c r="BK13" s="218">
        <v>20980.632561671937</v>
      </c>
      <c r="BL13" s="218">
        <v>19404.593525200813</v>
      </c>
      <c r="BM13" s="218">
        <v>18316.630693529427</v>
      </c>
      <c r="BN13" s="218">
        <v>16565.877434430629</v>
      </c>
      <c r="BO13" s="218">
        <v>16734.151723292951</v>
      </c>
      <c r="BP13" s="218">
        <v>18516.446561876073</v>
      </c>
      <c r="BQ13" s="218">
        <v>19773.208693478773</v>
      </c>
      <c r="BR13" s="218">
        <v>20695.592520901624</v>
      </c>
      <c r="BS13" s="218">
        <v>20493.947998741482</v>
      </c>
      <c r="BT13" s="218">
        <v>21292.434410391066</v>
      </c>
      <c r="BU13" s="218">
        <v>22414.493854258573</v>
      </c>
      <c r="BV13" s="218">
        <v>13718.972999456169</v>
      </c>
      <c r="BW13" s="218">
        <v>13492.709774492134</v>
      </c>
      <c r="BX13" s="218">
        <v>14827.794162082479</v>
      </c>
      <c r="BY13" s="218">
        <v>14893.23384901813</v>
      </c>
      <c r="BZ13" s="218">
        <v>19227.151320999274</v>
      </c>
      <c r="CA13" s="218">
        <v>19364.769864022623</v>
      </c>
      <c r="CB13" s="218">
        <v>20252.543101744497</v>
      </c>
      <c r="CC13" s="218">
        <v>22196.240133927018</v>
      </c>
      <c r="CD13" s="219">
        <v>5617.4015629319711</v>
      </c>
      <c r="CE13" s="219">
        <v>5762.2285423883714</v>
      </c>
      <c r="CF13" s="219">
        <v>5458.2476273538659</v>
      </c>
      <c r="CG13" s="219">
        <v>5451.5658227883332</v>
      </c>
      <c r="CH13" s="219">
        <v>5834.6504809317148</v>
      </c>
      <c r="CI13" s="219">
        <v>5124.1972178721317</v>
      </c>
      <c r="CJ13" s="219">
        <v>5093.121796617871</v>
      </c>
      <c r="CK13" s="219">
        <v>5315.6348532368011</v>
      </c>
      <c r="CL13" s="219">
        <v>5596.3831988952479</v>
      </c>
      <c r="CM13" s="219">
        <v>5723.7155346873587</v>
      </c>
      <c r="CN13" s="219">
        <v>6216.4836395932607</v>
      </c>
      <c r="CO13" s="219">
        <v>5991.1472069739611</v>
      </c>
      <c r="CP13" s="219">
        <v>5840.1094341827093</v>
      </c>
      <c r="CQ13" s="219">
        <v>5578.4797558838945</v>
      </c>
      <c r="CR13" s="219">
        <v>5141.363334687614</v>
      </c>
      <c r="CS13" s="219">
        <v>5643.9496495457761</v>
      </c>
      <c r="CT13" s="219">
        <v>5930.8696237721078</v>
      </c>
      <c r="CU13" s="219">
        <v>5877.3365424158646</v>
      </c>
      <c r="CV13" s="219">
        <v>6751.5105909333861</v>
      </c>
      <c r="CW13" s="219">
        <v>6280.2478916870023</v>
      </c>
      <c r="CX13" s="219">
        <v>6921.8917013564142</v>
      </c>
      <c r="CY13" s="219">
        <v>7071.68545749034</v>
      </c>
      <c r="CZ13" s="219">
        <v>7510.0383772283649</v>
      </c>
      <c r="DA13" s="219">
        <v>7078.9540599029333</v>
      </c>
      <c r="DB13" s="219">
        <v>6589.5476361768106</v>
      </c>
      <c r="DC13" s="219">
        <v>6221.9434808709084</v>
      </c>
      <c r="DD13" s="219">
        <v>5961.3546490119234</v>
      </c>
      <c r="DE13" s="219">
        <v>6192.732465693407</v>
      </c>
      <c r="DF13" s="219">
        <v>7012.5622549659993</v>
      </c>
      <c r="DG13" s="219">
        <v>12548.512608369469</v>
      </c>
      <c r="DH13" s="219">
        <v>13016.466890767502</v>
      </c>
      <c r="DI13" s="219">
        <v>13003.035269946944</v>
      </c>
      <c r="DJ13" s="219">
        <v>13887.881604646625</v>
      </c>
      <c r="DK13" s="219">
        <v>14111.827460673076</v>
      </c>
      <c r="DL13" s="219">
        <v>13718.972999456169</v>
      </c>
      <c r="DM13" s="219">
        <v>13492.709774492134</v>
      </c>
      <c r="DN13" s="219">
        <v>14827.794162082479</v>
      </c>
      <c r="DO13" s="219">
        <v>14893.23384901813</v>
      </c>
      <c r="DP13" s="219">
        <v>19227.151320999274</v>
      </c>
      <c r="DQ13" s="219">
        <v>19364.769864022623</v>
      </c>
      <c r="DR13" s="219">
        <v>20252.543101744497</v>
      </c>
      <c r="DS13" s="219">
        <v>22196.240133927018</v>
      </c>
      <c r="DT13" s="220">
        <v>1.2099871649506178</v>
      </c>
      <c r="DU13" s="220">
        <v>1.2144026720092214</v>
      </c>
      <c r="DV13" s="220">
        <v>1.2399718750273725</v>
      </c>
      <c r="DW13" s="220">
        <v>1.2854198373299826</v>
      </c>
      <c r="DX13" s="220">
        <v>1.2440532826467006</v>
      </c>
      <c r="DY13" s="220">
        <v>1.1818005340342443</v>
      </c>
      <c r="DZ13" s="220">
        <v>1.2051429869443524</v>
      </c>
      <c r="EA13" s="220">
        <v>1.3507884867134523</v>
      </c>
      <c r="EB13" s="220">
        <v>1.4129920889136551</v>
      </c>
      <c r="EC13" s="220">
        <v>1.9559625753438843</v>
      </c>
      <c r="ED13" s="220">
        <v>1.8615214081814089</v>
      </c>
      <c r="EE13" s="220">
        <v>1.8427489319317414</v>
      </c>
      <c r="EF13" s="220">
        <v>1.8808853623187178</v>
      </c>
      <c r="EG13" s="221">
        <v>8412</v>
      </c>
      <c r="EH13" s="221">
        <v>11475</v>
      </c>
      <c r="EI13" s="221">
        <v>16300</v>
      </c>
      <c r="EJ13" s="221">
        <v>11217.89</v>
      </c>
      <c r="EK13" s="221">
        <v>15116.71</v>
      </c>
      <c r="EL13" s="221">
        <v>14223.99</v>
      </c>
      <c r="EM13" s="221">
        <v>12188</v>
      </c>
      <c r="EN13" s="221">
        <v>8993</v>
      </c>
      <c r="EO13" s="222">
        <v>1.1000000000000001</v>
      </c>
      <c r="EP13" s="222">
        <v>1.2</v>
      </c>
      <c r="EQ13" s="222">
        <v>1.2</v>
      </c>
      <c r="ER13" s="222">
        <v>1.3</v>
      </c>
      <c r="ES13" s="222">
        <v>1.4</v>
      </c>
      <c r="ET13" s="222">
        <v>1.3</v>
      </c>
      <c r="EU13" s="222">
        <v>1.4</v>
      </c>
      <c r="EV13" s="222">
        <v>1.5</v>
      </c>
      <c r="EW13" s="222">
        <v>1.5</v>
      </c>
      <c r="EX13" s="222">
        <v>1.6</v>
      </c>
      <c r="EY13" s="222">
        <v>1.8</v>
      </c>
      <c r="EZ13" s="222">
        <v>2</v>
      </c>
      <c r="FA13" s="222">
        <v>2.2000000000000002</v>
      </c>
      <c r="FB13" s="222">
        <v>2.1</v>
      </c>
      <c r="FC13" s="222">
        <v>2.1</v>
      </c>
      <c r="FD13" s="223">
        <v>2.2000000000000002</v>
      </c>
      <c r="FE13" s="223">
        <v>2.1</v>
      </c>
      <c r="FF13" s="223">
        <v>2</v>
      </c>
      <c r="FG13" s="223">
        <v>1.9</v>
      </c>
      <c r="FH13" s="223">
        <v>2</v>
      </c>
      <c r="FI13" s="223">
        <v>1.9</v>
      </c>
      <c r="FJ13" s="223">
        <v>1.8</v>
      </c>
      <c r="FK13" s="223">
        <v>1.9</v>
      </c>
      <c r="FL13" s="223">
        <v>1.9</v>
      </c>
      <c r="FM13" s="223">
        <v>1.9</v>
      </c>
      <c r="FN13" s="223">
        <v>2</v>
      </c>
      <c r="FO13" s="223">
        <v>2</v>
      </c>
      <c r="FP13" s="223">
        <v>2</v>
      </c>
      <c r="FQ13" s="223">
        <v>1.1000000000000001</v>
      </c>
      <c r="FR13" s="223">
        <v>1.1000000000000001</v>
      </c>
      <c r="FS13" s="223">
        <v>1.1000000000000001</v>
      </c>
      <c r="FT13" s="223">
        <v>1.2</v>
      </c>
      <c r="FU13" s="223">
        <v>1.2</v>
      </c>
      <c r="FV13" s="223">
        <v>1.2</v>
      </c>
      <c r="FW13" s="223">
        <v>1.2</v>
      </c>
      <c r="FX13" s="223">
        <v>1.2</v>
      </c>
      <c r="FY13" s="223">
        <v>1.2</v>
      </c>
      <c r="FZ13" s="223">
        <v>1.1000000000000001</v>
      </c>
      <c r="GA13" s="223">
        <v>1.1000000000000001</v>
      </c>
      <c r="GB13" s="223">
        <v>1.2</v>
      </c>
      <c r="GC13" s="223">
        <v>1.2</v>
      </c>
      <c r="GD13" s="223">
        <v>1.2</v>
      </c>
      <c r="GE13" s="223" t="s">
        <v>3468</v>
      </c>
      <c r="GF13" s="223">
        <v>1.6</v>
      </c>
      <c r="GG13" s="223">
        <v>1050.2732109375002</v>
      </c>
      <c r="GH13" s="223">
        <v>1198.8217500000001</v>
      </c>
      <c r="GI13" s="223">
        <v>1227.469875</v>
      </c>
      <c r="GJ13" s="223">
        <v>1404.8408359375001</v>
      </c>
      <c r="GK13" s="223">
        <v>1582.5421718749999</v>
      </c>
      <c r="GL13" s="223">
        <v>1451.3675312500002</v>
      </c>
      <c r="GM13" s="223">
        <v>1544.4838281249999</v>
      </c>
      <c r="GN13" s="223">
        <v>1722.661640625</v>
      </c>
      <c r="GO13" s="223">
        <v>1669.4688281249998</v>
      </c>
      <c r="GP13" s="223">
        <v>1944.7473750000001</v>
      </c>
      <c r="GQ13" s="223">
        <v>2315.8205156250001</v>
      </c>
      <c r="GR13" s="223">
        <v>2551.901875</v>
      </c>
      <c r="GS13" s="223">
        <v>2808.5638281250003</v>
      </c>
      <c r="GT13" s="223">
        <v>2929.5580781250001</v>
      </c>
      <c r="GU13" s="223">
        <v>3128.8867968750001</v>
      </c>
      <c r="GV13" s="223">
        <v>3144.8130312500002</v>
      </c>
      <c r="GW13" s="223">
        <v>3419.5425468750004</v>
      </c>
      <c r="GX13" s="223">
        <v>3501.3018750000001</v>
      </c>
      <c r="GY13" s="223">
        <v>3488.4801562499997</v>
      </c>
      <c r="GZ13" s="223">
        <v>3610.0128125000001</v>
      </c>
      <c r="HA13" s="223">
        <v>3697.2993593749998</v>
      </c>
      <c r="HB13" s="223">
        <v>4211.7159375000001</v>
      </c>
      <c r="HC13" s="223">
        <v>5352.4442812500001</v>
      </c>
      <c r="HD13" s="223">
        <v>6182.3274687499998</v>
      </c>
      <c r="HE13" s="223">
        <v>7209.9335624999994</v>
      </c>
      <c r="HF13" s="223">
        <v>8383.1825000000008</v>
      </c>
      <c r="HG13" s="223">
        <v>10753.866250000001</v>
      </c>
      <c r="HH13" s="223">
        <v>11204.145</v>
      </c>
      <c r="HI13" s="223">
        <v>6214.1729375000004</v>
      </c>
      <c r="HJ13" s="223">
        <v>5839.6648750000004</v>
      </c>
      <c r="HK13" s="223">
        <v>5784.072937500001</v>
      </c>
      <c r="HL13" s="223">
        <v>5893.4088750000001</v>
      </c>
      <c r="HM13" s="223">
        <v>5447.15625</v>
      </c>
      <c r="HN13" s="223">
        <v>5751.0389999999998</v>
      </c>
      <c r="HO13" s="223">
        <v>6207.7072500000004</v>
      </c>
      <c r="HP13" s="223">
        <v>6679.8045000000002</v>
      </c>
      <c r="HQ13" s="223">
        <v>7275.7275</v>
      </c>
      <c r="HR13" s="223">
        <v>7263.4973125000006</v>
      </c>
      <c r="HS13" s="223">
        <v>7624.5929375000005</v>
      </c>
      <c r="HT13" s="223">
        <v>8311.5832499999997</v>
      </c>
      <c r="HU13" s="223">
        <v>9152.2034999999996</v>
      </c>
      <c r="HV13" s="223">
        <v>10109.64825</v>
      </c>
      <c r="HW13" s="223" t="e">
        <v>#VALUE!</v>
      </c>
      <c r="HX13" s="223">
        <v>14006.197</v>
      </c>
      <c r="HY13" s="224">
        <v>5530.0821974383962</v>
      </c>
      <c r="HZ13" s="224">
        <v>6077.9972682970356</v>
      </c>
      <c r="IA13" s="224">
        <v>6000.5605956613044</v>
      </c>
      <c r="IB13" s="224">
        <v>6630.3983028858956</v>
      </c>
      <c r="IC13" s="224">
        <v>7219.6793948997802</v>
      </c>
      <c r="ID13" s="224">
        <v>6407.2944810125473</v>
      </c>
      <c r="IE13" s="224">
        <v>6604.9421826301668</v>
      </c>
      <c r="IF13" s="224">
        <v>7143.3141561811135</v>
      </c>
      <c r="IG13" s="224">
        <v>6718.8116883548073</v>
      </c>
      <c r="IH13" s="224">
        <v>7602.715968637558</v>
      </c>
      <c r="II13" s="224">
        <v>8801.5191612254675</v>
      </c>
      <c r="IJ13" s="224">
        <v>9393.4546195690473</v>
      </c>
      <c r="IK13" s="224">
        <v>10022.703675820208</v>
      </c>
      <c r="IL13" s="224">
        <v>10144.873252978896</v>
      </c>
      <c r="IM13" s="224">
        <v>10523.479464901564</v>
      </c>
      <c r="IN13" s="224">
        <v>10281.317934904762</v>
      </c>
      <c r="IO13" s="224">
        <v>10875.420017918223</v>
      </c>
      <c r="IP13" s="224">
        <v>10840.593649823717</v>
      </c>
      <c r="IQ13" s="224">
        <v>10522.279825132196</v>
      </c>
      <c r="IR13" s="224">
        <v>10615.036603221513</v>
      </c>
      <c r="IS13" s="224">
        <v>10605.014137415916</v>
      </c>
      <c r="IT13" s="224">
        <v>11791.281191470061</v>
      </c>
      <c r="IU13" s="224">
        <v>14704.210245198177</v>
      </c>
      <c r="IV13" s="224">
        <v>16671.765556883522</v>
      </c>
      <c r="IW13" s="224">
        <v>19091.838580856929</v>
      </c>
      <c r="IX13" s="224">
        <v>21804.890920696223</v>
      </c>
      <c r="IY13" s="224">
        <v>27483.672261949181</v>
      </c>
      <c r="IZ13" s="224">
        <v>28144.004304439633</v>
      </c>
      <c r="JA13" s="224">
        <v>15346.6986438282</v>
      </c>
      <c r="JB13" s="224">
        <v>14182.970023641259</v>
      </c>
      <c r="JC13" s="224">
        <v>13819.100454562398</v>
      </c>
      <c r="JD13" s="224">
        <v>13854.619747281809</v>
      </c>
      <c r="JE13" s="224">
        <v>12655.597584265111</v>
      </c>
      <c r="JF13" s="224">
        <v>13206.978473253328</v>
      </c>
      <c r="JG13" s="224">
        <v>14092.592860389372</v>
      </c>
      <c r="JH13" s="224">
        <v>14992.801561254199</v>
      </c>
      <c r="JI13" s="224">
        <v>16147.690004851369</v>
      </c>
      <c r="JJ13" s="224">
        <v>15942.228670399641</v>
      </c>
      <c r="JK13" s="224">
        <v>16551.690002575473</v>
      </c>
      <c r="JL13" s="224">
        <v>17847.765209036112</v>
      </c>
      <c r="JM13" s="224">
        <v>19442.451453371657</v>
      </c>
      <c r="JN13" s="224">
        <v>21253.133947754573</v>
      </c>
      <c r="JO13" s="224"/>
      <c r="JP13" s="224">
        <v>25668.547583092644</v>
      </c>
    </row>
    <row r="14" spans="1:276" s="225" customFormat="1" ht="14" customHeight="1">
      <c r="A14" s="217" t="s">
        <v>542</v>
      </c>
      <c r="B14" s="217" t="s">
        <v>543</v>
      </c>
      <c r="C14" s="217">
        <v>6</v>
      </c>
      <c r="D14" s="217" t="s">
        <v>759</v>
      </c>
      <c r="E14" s="218">
        <v>243.52175022171758</v>
      </c>
      <c r="F14" s="218">
        <v>250.69742210287558</v>
      </c>
      <c r="G14" s="218">
        <v>233.90877106175239</v>
      </c>
      <c r="H14" s="218">
        <v>240.0273305500881</v>
      </c>
      <c r="I14" s="218">
        <v>267.52191695629</v>
      </c>
      <c r="J14" s="218">
        <v>269.53973777617949</v>
      </c>
      <c r="K14" s="218">
        <v>270.9289035260183</v>
      </c>
      <c r="L14" s="218">
        <v>270.80746301105825</v>
      </c>
      <c r="M14" s="218">
        <v>262.65114440523161</v>
      </c>
      <c r="N14" s="218">
        <v>248.52759825941658</v>
      </c>
      <c r="O14" s="218">
        <v>269.60113871787195</v>
      </c>
      <c r="P14" s="218">
        <v>253.13287864092638</v>
      </c>
      <c r="Q14" s="218">
        <v>280.19929332718215</v>
      </c>
      <c r="R14" s="218">
        <v>305.60665800580944</v>
      </c>
      <c r="S14" s="218">
        <v>291.8324237503337</v>
      </c>
      <c r="T14" s="218">
        <v>287.3776302056487</v>
      </c>
      <c r="U14" s="218">
        <v>293.36433621426846</v>
      </c>
      <c r="V14" s="218">
        <v>266.93624978777262</v>
      </c>
      <c r="W14" s="218">
        <v>306.95077825844152</v>
      </c>
      <c r="X14" s="218">
        <v>299.34391659859443</v>
      </c>
      <c r="Y14" s="218">
        <v>273.64007131787633</v>
      </c>
      <c r="Z14" s="218">
        <v>262.13276200728421</v>
      </c>
      <c r="AA14" s="218">
        <v>284.35633980023158</v>
      </c>
      <c r="AB14" s="218">
        <v>279.50382364656593</v>
      </c>
      <c r="AC14" s="218">
        <v>260.41597042401344</v>
      </c>
      <c r="AD14" s="218">
        <v>270.15858990697308</v>
      </c>
      <c r="AE14" s="218">
        <v>271.73515401845788</v>
      </c>
      <c r="AF14" s="218">
        <v>260.99224314897947</v>
      </c>
      <c r="AG14" s="218">
        <v>231.05051408128543</v>
      </c>
      <c r="AH14" s="218">
        <v>228.75721283505231</v>
      </c>
      <c r="AI14" s="218">
        <v>252.10523921707957</v>
      </c>
      <c r="AJ14" s="218">
        <v>280.02078063642955</v>
      </c>
      <c r="AK14" s="218">
        <v>294.71224586803373</v>
      </c>
      <c r="AL14" s="218">
        <v>310.77851362540207</v>
      </c>
      <c r="AM14" s="218">
        <v>296.91084979431491</v>
      </c>
      <c r="AN14" s="218">
        <v>302.9332210941165</v>
      </c>
      <c r="AO14" s="218">
        <v>337.68582434655195</v>
      </c>
      <c r="AP14" s="218">
        <v>322.39560467300589</v>
      </c>
      <c r="AQ14" s="218">
        <v>310.19213649197923</v>
      </c>
      <c r="AR14" s="218">
        <v>294.15159122946665</v>
      </c>
      <c r="AS14" s="218">
        <v>270.66926456964688</v>
      </c>
      <c r="AT14" s="218">
        <v>7854.3947638478294</v>
      </c>
      <c r="AU14" s="218">
        <v>8531.3186248004731</v>
      </c>
      <c r="AV14" s="218">
        <v>7985.0431551320953</v>
      </c>
      <c r="AW14" s="218">
        <v>8815.1145195445752</v>
      </c>
      <c r="AX14" s="218">
        <v>9625.5793881706832</v>
      </c>
      <c r="AY14" s="218">
        <v>9212.9343166471372</v>
      </c>
      <c r="AZ14" s="218">
        <v>9295.3995526440831</v>
      </c>
      <c r="BA14" s="218">
        <v>9550.0598077759987</v>
      </c>
      <c r="BB14" s="218">
        <v>8819.126432480225</v>
      </c>
      <c r="BC14" s="218">
        <v>10067.126447761511</v>
      </c>
      <c r="BD14" s="218">
        <v>9839.0325964592939</v>
      </c>
      <c r="BE14" s="218">
        <v>9011.4050679241427</v>
      </c>
      <c r="BF14" s="218">
        <v>8680.580658686622</v>
      </c>
      <c r="BG14" s="218">
        <v>9401.8444985470414</v>
      </c>
      <c r="BH14" s="218">
        <v>9243.1863278346882</v>
      </c>
      <c r="BI14" s="218">
        <v>8722.0894015324611</v>
      </c>
      <c r="BJ14" s="218">
        <v>8911.9432961744769</v>
      </c>
      <c r="BK14" s="218">
        <v>8909.9123249423465</v>
      </c>
      <c r="BL14" s="218">
        <v>8577.7728630847269</v>
      </c>
      <c r="BM14" s="218">
        <v>7703.3548491289075</v>
      </c>
      <c r="BN14" s="218">
        <v>7566.8749229867735</v>
      </c>
      <c r="BO14" s="218">
        <v>8183.9455380928093</v>
      </c>
      <c r="BP14" s="218">
        <v>9040.191254377778</v>
      </c>
      <c r="BQ14" s="218">
        <v>9565.502994495695</v>
      </c>
      <c r="BR14" s="218">
        <v>9799.6599721565344</v>
      </c>
      <c r="BS14" s="218">
        <v>9687.50960884296</v>
      </c>
      <c r="BT14" s="218">
        <v>10028.467683812736</v>
      </c>
      <c r="BU14" s="218">
        <v>10516.920434817095</v>
      </c>
      <c r="BV14" s="218">
        <v>11295.568896200939</v>
      </c>
      <c r="BW14" s="218">
        <v>10554.387611274131</v>
      </c>
      <c r="BX14" s="218">
        <v>10518.852819936434</v>
      </c>
      <c r="BY14" s="218">
        <v>10184.177748100901</v>
      </c>
      <c r="BZ14" s="218">
        <v>10180.919548894075</v>
      </c>
      <c r="CA14" s="218">
        <v>10849.237598283989</v>
      </c>
      <c r="CB14" s="218">
        <v>11421.061887339882</v>
      </c>
      <c r="CC14" s="218">
        <v>12233.80841661784</v>
      </c>
      <c r="CD14" s="219">
        <v>5282.4080574157024</v>
      </c>
      <c r="CE14" s="219">
        <v>5737.985442019939</v>
      </c>
      <c r="CF14" s="219">
        <v>5227.2036221535845</v>
      </c>
      <c r="CG14" s="219">
        <v>5661.3265243432434</v>
      </c>
      <c r="CH14" s="219">
        <v>5839.9346303833727</v>
      </c>
      <c r="CI14" s="219">
        <v>5447.7064479461451</v>
      </c>
      <c r="CJ14" s="219">
        <v>5329.8959997603251</v>
      </c>
      <c r="CK14" s="219">
        <v>5582.0254441246871</v>
      </c>
      <c r="CL14" s="219">
        <v>5707.1962723871284</v>
      </c>
      <c r="CM14" s="219">
        <v>5356.5580131504767</v>
      </c>
      <c r="CN14" s="219">
        <v>5694.7715957353794</v>
      </c>
      <c r="CO14" s="219">
        <v>5545.9551586254247</v>
      </c>
      <c r="CP14" s="219">
        <v>5753.294138453397</v>
      </c>
      <c r="CQ14" s="219">
        <v>5148.7336289019231</v>
      </c>
      <c r="CR14" s="219">
        <v>4861.0694309100481</v>
      </c>
      <c r="CS14" s="219">
        <v>5329.3707476118179</v>
      </c>
      <c r="CT14" s="219">
        <v>5834.6270342088046</v>
      </c>
      <c r="CU14" s="219">
        <v>6182.4800531874016</v>
      </c>
      <c r="CV14" s="219">
        <v>6186.0291297201547</v>
      </c>
      <c r="CW14" s="219">
        <v>5763.3972292751751</v>
      </c>
      <c r="CX14" s="219">
        <v>6028.5253805012189</v>
      </c>
      <c r="CY14" s="219">
        <v>5843.3416706461785</v>
      </c>
      <c r="CZ14" s="219">
        <v>5940.4897290475019</v>
      </c>
      <c r="DA14" s="219">
        <v>4990.7641660305981</v>
      </c>
      <c r="DB14" s="219">
        <v>5549.6461839301428</v>
      </c>
      <c r="DC14" s="219">
        <v>5241.8175832361785</v>
      </c>
      <c r="DD14" s="219">
        <v>4549.2541762217961</v>
      </c>
      <c r="DE14" s="219">
        <v>4481.0765955528523</v>
      </c>
      <c r="DF14" s="219">
        <v>4918.1637857510505</v>
      </c>
      <c r="DG14" s="219">
        <v>9946.9940661293422</v>
      </c>
      <c r="DH14" s="219">
        <v>10397.700944517481</v>
      </c>
      <c r="DI14" s="219">
        <v>9873.059782542312</v>
      </c>
      <c r="DJ14" s="219">
        <v>10164.553700077193</v>
      </c>
      <c r="DK14" s="219">
        <v>10680.310342126204</v>
      </c>
      <c r="DL14" s="219">
        <v>11295.568896200939</v>
      </c>
      <c r="DM14" s="219">
        <v>10554.387611274131</v>
      </c>
      <c r="DN14" s="219">
        <v>10518.852819936434</v>
      </c>
      <c r="DO14" s="219">
        <v>10184.177748100901</v>
      </c>
      <c r="DP14" s="219">
        <v>10180.919548894075</v>
      </c>
      <c r="DQ14" s="219">
        <v>10849.237598283989</v>
      </c>
      <c r="DR14" s="219">
        <v>11421.061887339882</v>
      </c>
      <c r="DS14" s="219">
        <v>12233.80841661784</v>
      </c>
      <c r="DT14" s="220">
        <v>7.3513479503733592</v>
      </c>
      <c r="DU14" s="220">
        <v>7.3979802509678043</v>
      </c>
      <c r="DV14" s="220">
        <v>7.1451552291102409</v>
      </c>
      <c r="DW14" s="220">
        <v>7.1062508139053584</v>
      </c>
      <c r="DX14" s="220">
        <v>7.0793636866935516</v>
      </c>
      <c r="DY14" s="220">
        <v>7.2837495496825264</v>
      </c>
      <c r="DZ14" s="220">
        <v>7.0262270667955287</v>
      </c>
      <c r="EA14" s="220">
        <v>7.1122611254038457</v>
      </c>
      <c r="EB14" s="220">
        <v>7.1422501910275518</v>
      </c>
      <c r="EC14" s="220">
        <v>7.6336305247722684</v>
      </c>
      <c r="ED14" s="220">
        <v>7.6651247037070283</v>
      </c>
      <c r="EE14" s="220">
        <v>7.6163701227764573</v>
      </c>
      <c r="EF14" s="220">
        <v>7.5772963045132657</v>
      </c>
      <c r="EG14" s="221">
        <v>4782</v>
      </c>
      <c r="EH14" s="221">
        <v>6109</v>
      </c>
      <c r="EI14" s="221">
        <v>7456</v>
      </c>
      <c r="EJ14" s="221">
        <v>7491.9</v>
      </c>
      <c r="EK14" s="221">
        <v>9359.06</v>
      </c>
      <c r="EL14" s="221">
        <v>9413.3700000000008</v>
      </c>
      <c r="EM14" s="221">
        <v>9515</v>
      </c>
      <c r="EN14" s="221">
        <v>7436</v>
      </c>
      <c r="EO14" s="222">
        <v>6.3</v>
      </c>
      <c r="EP14" s="222">
        <v>6.7</v>
      </c>
      <c r="EQ14" s="222">
        <v>6.3</v>
      </c>
      <c r="ER14" s="222">
        <v>6.8</v>
      </c>
      <c r="ES14" s="222">
        <v>7.1</v>
      </c>
      <c r="ET14" s="222">
        <v>7</v>
      </c>
      <c r="EU14" s="222">
        <v>7</v>
      </c>
      <c r="EV14" s="222">
        <v>6.8</v>
      </c>
      <c r="EW14" s="222">
        <v>6.5</v>
      </c>
      <c r="EX14" s="222">
        <v>7.1</v>
      </c>
      <c r="EY14" s="222">
        <v>7</v>
      </c>
      <c r="EZ14" s="222">
        <v>6.8</v>
      </c>
      <c r="FA14" s="222">
        <v>6.9</v>
      </c>
      <c r="FB14" s="222">
        <v>7.2</v>
      </c>
      <c r="FC14" s="222">
        <v>7.1</v>
      </c>
      <c r="FD14" s="223">
        <v>7.2</v>
      </c>
      <c r="FE14" s="223">
        <v>7</v>
      </c>
      <c r="FF14" s="223">
        <v>7</v>
      </c>
      <c r="FG14" s="223">
        <v>6.9</v>
      </c>
      <c r="FH14" s="223">
        <v>6.7</v>
      </c>
      <c r="FI14" s="223">
        <v>6.8</v>
      </c>
      <c r="FJ14" s="223">
        <v>6.9</v>
      </c>
      <c r="FK14" s="223">
        <v>7</v>
      </c>
      <c r="FL14" s="223">
        <v>7.1</v>
      </c>
      <c r="FM14" s="223">
        <v>7</v>
      </c>
      <c r="FN14" s="223">
        <v>7</v>
      </c>
      <c r="FO14" s="223">
        <v>7</v>
      </c>
      <c r="FP14" s="223">
        <v>7</v>
      </c>
      <c r="FQ14" s="223">
        <v>7.8</v>
      </c>
      <c r="FR14" s="223">
        <v>7.5</v>
      </c>
      <c r="FS14" s="223">
        <v>7.8</v>
      </c>
      <c r="FT14" s="223">
        <v>7.8</v>
      </c>
      <c r="FU14" s="223">
        <v>8.3000000000000007</v>
      </c>
      <c r="FV14" s="223">
        <v>8</v>
      </c>
      <c r="FW14" s="223">
        <v>7.6</v>
      </c>
      <c r="FX14" s="223">
        <v>7.8</v>
      </c>
      <c r="FY14" s="223">
        <v>7.5</v>
      </c>
      <c r="FZ14" s="223">
        <v>6.8</v>
      </c>
      <c r="GA14" s="223">
        <v>7.1</v>
      </c>
      <c r="GB14" s="223">
        <v>7.4</v>
      </c>
      <c r="GC14" s="223">
        <v>7.4</v>
      </c>
      <c r="GD14" s="223">
        <v>7.5</v>
      </c>
      <c r="GE14" s="223">
        <v>7.8</v>
      </c>
      <c r="GF14" s="223">
        <v>7.8</v>
      </c>
      <c r="GG14" s="223">
        <v>6015.2011171875001</v>
      </c>
      <c r="GH14" s="223">
        <v>6693.4214375000001</v>
      </c>
      <c r="GI14" s="223">
        <v>6444.2168437500004</v>
      </c>
      <c r="GJ14" s="223">
        <v>7348.3982187500005</v>
      </c>
      <c r="GK14" s="223">
        <v>8025.7495859374994</v>
      </c>
      <c r="GL14" s="223">
        <v>7815.0559375000012</v>
      </c>
      <c r="GM14" s="223">
        <v>7722.4191406250011</v>
      </c>
      <c r="GN14" s="223">
        <v>7809.3994375000002</v>
      </c>
      <c r="GO14" s="223">
        <v>7234.3649218750006</v>
      </c>
      <c r="GP14" s="223">
        <v>8629.8164765624988</v>
      </c>
      <c r="GQ14" s="223">
        <v>9005.9686718750017</v>
      </c>
      <c r="GR14" s="223">
        <v>8676.466375</v>
      </c>
      <c r="GS14" s="223">
        <v>8808.6774609375007</v>
      </c>
      <c r="GT14" s="223">
        <v>10044.199125000001</v>
      </c>
      <c r="GU14" s="223">
        <v>10578.617265624998</v>
      </c>
      <c r="GV14" s="223">
        <v>10292.115375000001</v>
      </c>
      <c r="GW14" s="223">
        <v>11398.475156250001</v>
      </c>
      <c r="GX14" s="223">
        <v>12254.556562500002</v>
      </c>
      <c r="GY14" s="223">
        <v>12668.691093750002</v>
      </c>
      <c r="GZ14" s="223">
        <v>12093.542921875001</v>
      </c>
      <c r="HA14" s="223">
        <v>13232.439812500001</v>
      </c>
      <c r="HB14" s="223">
        <v>16144.911093750001</v>
      </c>
      <c r="HC14" s="223">
        <v>19719.5315625</v>
      </c>
      <c r="HD14" s="223">
        <v>23102.381593749997</v>
      </c>
      <c r="HE14" s="223">
        <v>26562.913125000003</v>
      </c>
      <c r="HF14" s="223">
        <v>29341.138750000002</v>
      </c>
      <c r="HG14" s="223">
        <v>37638.531875000001</v>
      </c>
      <c r="HH14" s="223">
        <v>39214.507500000007</v>
      </c>
      <c r="HI14" s="223">
        <v>44064.135374999998</v>
      </c>
      <c r="HJ14" s="223">
        <v>39815.896874999999</v>
      </c>
      <c r="HK14" s="223">
        <v>41014.335375000002</v>
      </c>
      <c r="HL14" s="223">
        <v>38307.157687500003</v>
      </c>
      <c r="HM14" s="223">
        <v>37676.1640625</v>
      </c>
      <c r="HN14" s="223">
        <v>38340.26</v>
      </c>
      <c r="HO14" s="223">
        <v>39315.479249999997</v>
      </c>
      <c r="HP14" s="223">
        <v>43418.729249999997</v>
      </c>
      <c r="HQ14" s="223">
        <v>45473.296875</v>
      </c>
      <c r="HR14" s="223">
        <v>44901.619750000005</v>
      </c>
      <c r="HS14" s="223">
        <v>49213.281687499999</v>
      </c>
      <c r="HT14" s="223">
        <v>51254.76337500001</v>
      </c>
      <c r="HU14" s="223">
        <v>56438.588250000008</v>
      </c>
      <c r="HV14" s="223">
        <v>63185.301562499997</v>
      </c>
      <c r="HW14" s="223">
        <v>66592.178249999997</v>
      </c>
      <c r="HX14" s="223">
        <v>68280.210374999995</v>
      </c>
      <c r="HY14" s="224">
        <v>2919.9084092916969</v>
      </c>
      <c r="HZ14" s="224">
        <v>3195.2038954019222</v>
      </c>
      <c r="IA14" s="224">
        <v>3026.0182057189259</v>
      </c>
      <c r="IB14" s="224">
        <v>3395.1646192518597</v>
      </c>
      <c r="IC14" s="224">
        <v>3649.4936185242082</v>
      </c>
      <c r="ID14" s="224">
        <v>3498.376249127371</v>
      </c>
      <c r="IE14" s="224">
        <v>3403.9285341743462</v>
      </c>
      <c r="IF14" s="224">
        <v>3390.3095753482185</v>
      </c>
      <c r="IG14" s="224">
        <v>3093.9674961943215</v>
      </c>
      <c r="IH14" s="224">
        <v>3636.692230626521</v>
      </c>
      <c r="II14" s="224">
        <v>3740.4023300864633</v>
      </c>
      <c r="IJ14" s="224">
        <v>3555.3694543715028</v>
      </c>
      <c r="IK14" s="224">
        <v>3561.920059215804</v>
      </c>
      <c r="IL14" s="224">
        <v>4008.6302473891246</v>
      </c>
      <c r="IM14" s="224">
        <v>4167.642631442488</v>
      </c>
      <c r="IN14" s="224">
        <v>4003.3067655009227</v>
      </c>
      <c r="IO14" s="224">
        <v>4378.0789285983838</v>
      </c>
      <c r="IP14" s="224">
        <v>4648.6331471334452</v>
      </c>
      <c r="IQ14" s="224">
        <v>4746.9735081206936</v>
      </c>
      <c r="IR14" s="224">
        <v>4476.7302368155424</v>
      </c>
      <c r="IS14" s="224">
        <v>4839.8620394388099</v>
      </c>
      <c r="IT14" s="224">
        <v>5835.4755834875195</v>
      </c>
      <c r="IU14" s="224">
        <v>7031.516512885436</v>
      </c>
      <c r="IV14" s="224">
        <v>8128.3001872729128</v>
      </c>
      <c r="IW14" s="224">
        <v>9223.2916897845789</v>
      </c>
      <c r="IX14" s="224">
        <v>10056.090086869044</v>
      </c>
      <c r="IY14" s="224">
        <v>12735.018513697023</v>
      </c>
      <c r="IZ14" s="224">
        <v>13100.844899015157</v>
      </c>
      <c r="JA14" s="224">
        <v>14537.59506904396</v>
      </c>
      <c r="JB14" s="224">
        <v>12974.362297492575</v>
      </c>
      <c r="JC14" s="224">
        <v>13202.408866252488</v>
      </c>
      <c r="JD14" s="224">
        <v>12182.869724737671</v>
      </c>
      <c r="JE14" s="224">
        <v>11876.294807119328</v>
      </c>
      <c r="JF14" s="224">
        <v>11979.754040507105</v>
      </c>
      <c r="JG14" s="224">
        <v>12177.784896757246</v>
      </c>
      <c r="JH14" s="224">
        <v>13332.956624829374</v>
      </c>
      <c r="JI14" s="224">
        <v>13844.671031445767</v>
      </c>
      <c r="JJ14" s="224">
        <v>13554.911334757406</v>
      </c>
      <c r="JK14" s="224">
        <v>14731.826255398826</v>
      </c>
      <c r="JL14" s="224">
        <v>15215.235912349746</v>
      </c>
      <c r="JM14" s="224">
        <v>16615.785169952469</v>
      </c>
      <c r="JN14" s="224">
        <v>18451.624927432033</v>
      </c>
      <c r="JO14" s="224">
        <v>19291.400485528302</v>
      </c>
      <c r="JP14" s="224">
        <v>19566.385916543946</v>
      </c>
    </row>
    <row r="15" spans="1:276" s="225" customFormat="1" ht="14" customHeight="1">
      <c r="A15" s="217" t="s">
        <v>628</v>
      </c>
      <c r="B15" s="217" t="s">
        <v>629</v>
      </c>
      <c r="C15" s="217">
        <v>7</v>
      </c>
      <c r="D15" s="217" t="s">
        <v>641</v>
      </c>
      <c r="E15" s="218">
        <v>142.98697117976943</v>
      </c>
      <c r="F15" s="218">
        <v>112.71977953178782</v>
      </c>
      <c r="G15" s="218">
        <v>102.02220566268849</v>
      </c>
      <c r="H15" s="218">
        <v>121.61966543393535</v>
      </c>
      <c r="I15" s="218">
        <v>154.14164093371878</v>
      </c>
      <c r="J15" s="218">
        <v>152.36854154232671</v>
      </c>
      <c r="K15" s="218">
        <v>163.23869376022336</v>
      </c>
      <c r="L15" s="218">
        <v>182.3254690498961</v>
      </c>
      <c r="M15" s="218">
        <v>181.32397591152787</v>
      </c>
      <c r="N15" s="218">
        <v>191.52510563133734</v>
      </c>
      <c r="O15" s="218">
        <v>194.3855210266772</v>
      </c>
      <c r="P15" s="218">
        <v>202.52008016265714</v>
      </c>
      <c r="Q15" s="218">
        <v>192.40336860748369</v>
      </c>
      <c r="R15" s="218">
        <v>204.69430321755698</v>
      </c>
      <c r="S15" s="218">
        <v>212.09247309615836</v>
      </c>
      <c r="T15" s="218">
        <v>210.07206562642884</v>
      </c>
      <c r="U15" s="218">
        <v>212.01356113361771</v>
      </c>
      <c r="V15" s="218">
        <v>204.71399053273583</v>
      </c>
      <c r="W15" s="218">
        <v>216.18755419780578</v>
      </c>
      <c r="X15" s="218">
        <v>218.17401108666465</v>
      </c>
      <c r="Y15" s="218">
        <v>203.62617941265466</v>
      </c>
      <c r="Z15" s="218">
        <v>239.65790723912397</v>
      </c>
      <c r="AA15" s="218">
        <v>226.76852680777694</v>
      </c>
      <c r="AB15" s="218">
        <v>255.91922760574207</v>
      </c>
      <c r="AC15" s="218">
        <v>208.32049416534778</v>
      </c>
      <c r="AD15" s="218">
        <v>231.10772683347292</v>
      </c>
      <c r="AE15" s="218">
        <v>230.27713622899836</v>
      </c>
      <c r="AF15" s="218">
        <v>240.5524869030919</v>
      </c>
      <c r="AG15" s="218">
        <v>226.89401941761372</v>
      </c>
      <c r="AH15" s="218">
        <v>221.80746478580687</v>
      </c>
      <c r="AI15" s="218">
        <v>239.79145848786348</v>
      </c>
      <c r="AJ15" s="218">
        <v>238.21936636194732</v>
      </c>
      <c r="AK15" s="218">
        <v>242.83472347601364</v>
      </c>
      <c r="AL15" s="218">
        <v>243.10309874968257</v>
      </c>
      <c r="AM15" s="218">
        <v>231.24909771634356</v>
      </c>
      <c r="AN15" s="218">
        <v>229.74023523230252</v>
      </c>
      <c r="AO15" s="218">
        <v>235.57152878086666</v>
      </c>
      <c r="AP15" s="218">
        <v>240.34155472035923</v>
      </c>
      <c r="AQ15" s="218">
        <v>230.83803666574858</v>
      </c>
      <c r="AR15" s="218">
        <v>216.44412379676442</v>
      </c>
      <c r="AS15" s="218">
        <v>201.22592282685449</v>
      </c>
      <c r="AT15" s="218">
        <v>6052.9043750141363</v>
      </c>
      <c r="AU15" s="218">
        <v>6150.8845290225381</v>
      </c>
      <c r="AV15" s="218">
        <v>6387.9347237349239</v>
      </c>
      <c r="AW15" s="218">
        <v>6052.3869263141023</v>
      </c>
      <c r="AX15" s="218">
        <v>6446.3973226981052</v>
      </c>
      <c r="AY15" s="218">
        <v>6694.7690509957256</v>
      </c>
      <c r="AZ15" s="218">
        <v>6794.1055094042786</v>
      </c>
      <c r="BA15" s="218">
        <v>6901.1007230749574</v>
      </c>
      <c r="BB15" s="218">
        <v>6762.8924407614704</v>
      </c>
      <c r="BC15" s="218">
        <v>7090.0476339566158</v>
      </c>
      <c r="BD15" s="218">
        <v>7171.0867926555466</v>
      </c>
      <c r="BE15" s="218">
        <v>6701.3574978642046</v>
      </c>
      <c r="BF15" s="218">
        <v>7927.142128671996</v>
      </c>
      <c r="BG15" s="218">
        <v>7486.4010413059677</v>
      </c>
      <c r="BH15" s="218">
        <v>8448.4822615141147</v>
      </c>
      <c r="BI15" s="218">
        <v>6964.4155351854888</v>
      </c>
      <c r="BJ15" s="218">
        <v>7609.9116139853604</v>
      </c>
      <c r="BK15" s="218">
        <v>7537.9479424641504</v>
      </c>
      <c r="BL15" s="218">
        <v>7894.8516190222617</v>
      </c>
      <c r="BM15" s="218">
        <v>7556.8856032432122</v>
      </c>
      <c r="BN15" s="218">
        <v>7332.7967257999726</v>
      </c>
      <c r="BO15" s="218">
        <v>7784.2104466330611</v>
      </c>
      <c r="BP15" s="218">
        <v>7698.904882173767</v>
      </c>
      <c r="BQ15" s="218">
        <v>7899.6385887514398</v>
      </c>
      <c r="BR15" s="218">
        <v>7693.3359740859487</v>
      </c>
      <c r="BS15" s="218">
        <v>7583.3362557105629</v>
      </c>
      <c r="BT15" s="218">
        <v>7767.5842319573567</v>
      </c>
      <c r="BU15" s="218">
        <v>8112.4495039660178</v>
      </c>
      <c r="BV15" s="218">
        <v>6277.9415684617952</v>
      </c>
      <c r="BW15" s="218">
        <v>6089.0240772780871</v>
      </c>
      <c r="BX15" s="218">
        <v>5877.7397773392613</v>
      </c>
      <c r="BY15" s="218">
        <v>5698.2788561248317</v>
      </c>
      <c r="BZ15" s="218">
        <v>5049.6328632307423</v>
      </c>
      <c r="CA15" s="218">
        <v>5069.8703530833154</v>
      </c>
      <c r="CB15" s="218">
        <v>5306.6401958652705</v>
      </c>
      <c r="CC15" s="218">
        <v>5873.7183458638119</v>
      </c>
      <c r="CD15" s="219">
        <v>3652.3646482163226</v>
      </c>
      <c r="CE15" s="219">
        <v>4308.3472208327494</v>
      </c>
      <c r="CF15" s="219">
        <v>3849.5055370735372</v>
      </c>
      <c r="CG15" s="219">
        <v>4175.2328930442891</v>
      </c>
      <c r="CH15" s="219">
        <v>4659.1481151676435</v>
      </c>
      <c r="CI15" s="219">
        <v>4560.4706712609322</v>
      </c>
      <c r="CJ15" s="219">
        <v>3976.5217657773405</v>
      </c>
      <c r="CK15" s="219">
        <v>4280.5436070922378</v>
      </c>
      <c r="CL15" s="219">
        <v>4509.2160630540666</v>
      </c>
      <c r="CM15" s="219">
        <v>4348.7325207908298</v>
      </c>
      <c r="CN15" s="219">
        <v>4843.9814987336722</v>
      </c>
      <c r="CO15" s="219">
        <v>4638.1796372484405</v>
      </c>
      <c r="CP15" s="219">
        <v>4365.6001964549187</v>
      </c>
      <c r="CQ15" s="219">
        <v>4744.5382798132559</v>
      </c>
      <c r="CR15" s="219">
        <v>4491.7499904260012</v>
      </c>
      <c r="CS15" s="219">
        <v>4673.2510149963427</v>
      </c>
      <c r="CT15" s="219">
        <v>5208.0991078906782</v>
      </c>
      <c r="CU15" s="219">
        <v>5539.0478515094101</v>
      </c>
      <c r="CV15" s="219">
        <v>5586.604135567005</v>
      </c>
      <c r="CW15" s="219">
        <v>5323.1549857331111</v>
      </c>
      <c r="CX15" s="219">
        <v>5535.1680050499772</v>
      </c>
      <c r="CY15" s="219">
        <v>5362.2401410034163</v>
      </c>
      <c r="CZ15" s="219">
        <v>5653.4703060467718</v>
      </c>
      <c r="DA15" s="219">
        <v>5343.6930747871329</v>
      </c>
      <c r="DB15" s="219">
        <v>5310.4891984496207</v>
      </c>
      <c r="DC15" s="219">
        <v>4796.7688592847062</v>
      </c>
      <c r="DD15" s="219">
        <v>4411.2782624305974</v>
      </c>
      <c r="DE15" s="219">
        <v>4692.3389858439114</v>
      </c>
      <c r="DF15" s="219">
        <v>4954.1370066713544</v>
      </c>
      <c r="DG15" s="219">
        <v>5843.0585608998417</v>
      </c>
      <c r="DH15" s="219">
        <v>5836.1470896059318</v>
      </c>
      <c r="DI15" s="219">
        <v>5782.2643841544104</v>
      </c>
      <c r="DJ15" s="219">
        <v>5652.1352907019173</v>
      </c>
      <c r="DK15" s="219">
        <v>6023.2178936548989</v>
      </c>
      <c r="DL15" s="219">
        <v>6277.9415684617952</v>
      </c>
      <c r="DM15" s="219">
        <v>6089.0240772780871</v>
      </c>
      <c r="DN15" s="219">
        <v>5877.7397773392613</v>
      </c>
      <c r="DO15" s="219">
        <v>5698.2788561248317</v>
      </c>
      <c r="DP15" s="219">
        <v>5049.6328632307423</v>
      </c>
      <c r="DQ15" s="219">
        <v>5069.8703530833154</v>
      </c>
      <c r="DR15" s="219">
        <v>5306.6401958652705</v>
      </c>
      <c r="DS15" s="219">
        <v>5873.7183458638119</v>
      </c>
      <c r="DT15" s="220">
        <v>1.2524183889860621</v>
      </c>
      <c r="DU15" s="220">
        <v>1.2092139961004307</v>
      </c>
      <c r="DV15" s="220">
        <v>1.2234136555916604</v>
      </c>
      <c r="DW15" s="220">
        <v>1.1596964559512144</v>
      </c>
      <c r="DX15" s="220">
        <v>1.1760735194698755</v>
      </c>
      <c r="DY15" s="220">
        <v>1.1968222463713047</v>
      </c>
      <c r="DZ15" s="220">
        <v>1.2026193158435605</v>
      </c>
      <c r="EA15" s="220">
        <v>1.1831086172298626</v>
      </c>
      <c r="EB15" s="220">
        <v>1.1936330386308103</v>
      </c>
      <c r="EC15" s="220">
        <v>1.1337005242403313</v>
      </c>
      <c r="ED15" s="220">
        <v>1.075142931269647</v>
      </c>
      <c r="EE15" s="220">
        <v>1.064742646731214</v>
      </c>
      <c r="EF15" s="220">
        <v>1.097142577290749</v>
      </c>
      <c r="EG15" s="221">
        <v>2823</v>
      </c>
      <c r="EH15" s="221">
        <v>4705</v>
      </c>
      <c r="EI15" s="221">
        <v>5462</v>
      </c>
      <c r="EJ15" s="221">
        <v>3770.91</v>
      </c>
      <c r="EK15" s="221">
        <v>4177.92</v>
      </c>
      <c r="EL15" s="221">
        <v>4471.5200000000004</v>
      </c>
      <c r="EM15" s="221">
        <v>6169</v>
      </c>
      <c r="EN15" s="221">
        <v>4181</v>
      </c>
      <c r="EO15" s="222">
        <v>1.3</v>
      </c>
      <c r="EP15" s="222">
        <v>1.3</v>
      </c>
      <c r="EQ15" s="222">
        <v>1.4</v>
      </c>
      <c r="ER15" s="222">
        <v>1.3</v>
      </c>
      <c r="ES15" s="222">
        <v>1.3</v>
      </c>
      <c r="ET15" s="222">
        <v>1.4</v>
      </c>
      <c r="EU15" s="222">
        <v>1.4</v>
      </c>
      <c r="EV15" s="222">
        <v>1.4</v>
      </c>
      <c r="EW15" s="222">
        <v>1.4</v>
      </c>
      <c r="EX15" s="222">
        <v>1.4</v>
      </c>
      <c r="EY15" s="222">
        <v>1.4</v>
      </c>
      <c r="EZ15" s="222">
        <v>1.4</v>
      </c>
      <c r="FA15" s="222">
        <v>1.7</v>
      </c>
      <c r="FB15" s="222">
        <v>1.6</v>
      </c>
      <c r="FC15" s="222">
        <v>1.8</v>
      </c>
      <c r="FD15" s="223">
        <v>1.6</v>
      </c>
      <c r="FE15" s="223">
        <v>1.7</v>
      </c>
      <c r="FF15" s="223">
        <v>1.7</v>
      </c>
      <c r="FG15" s="223">
        <v>1.8</v>
      </c>
      <c r="FH15" s="223">
        <v>1.9</v>
      </c>
      <c r="FI15" s="223">
        <v>1.9</v>
      </c>
      <c r="FJ15" s="223">
        <v>1.9</v>
      </c>
      <c r="FK15" s="223">
        <v>1.7</v>
      </c>
      <c r="FL15" s="223">
        <v>1.7</v>
      </c>
      <c r="FM15" s="223">
        <v>1.6</v>
      </c>
      <c r="FN15" s="223">
        <v>1.6</v>
      </c>
      <c r="FO15" s="223">
        <v>1.6</v>
      </c>
      <c r="FP15" s="223">
        <v>1.6</v>
      </c>
      <c r="FQ15" s="223">
        <v>1.2</v>
      </c>
      <c r="FR15" s="223">
        <v>1.3</v>
      </c>
      <c r="FS15" s="223">
        <v>1.3</v>
      </c>
      <c r="FT15" s="223">
        <v>1.3</v>
      </c>
      <c r="FU15" s="223">
        <v>1.3</v>
      </c>
      <c r="FV15" s="223">
        <v>1.3</v>
      </c>
      <c r="FW15" s="223">
        <v>1.3</v>
      </c>
      <c r="FX15" s="223">
        <v>1.3</v>
      </c>
      <c r="FY15" s="223">
        <v>1.3</v>
      </c>
      <c r="FZ15" s="223">
        <v>1.1000000000000001</v>
      </c>
      <c r="GA15" s="223">
        <v>1.2</v>
      </c>
      <c r="GB15" s="223">
        <v>1.3</v>
      </c>
      <c r="GC15" s="223">
        <v>1.3</v>
      </c>
      <c r="GD15" s="223">
        <v>1.3</v>
      </c>
      <c r="GE15" s="223">
        <v>1.4</v>
      </c>
      <c r="GF15" s="223">
        <v>1.3</v>
      </c>
      <c r="GG15" s="223">
        <v>1241.2319765625002</v>
      </c>
      <c r="GH15" s="223">
        <v>1298.7235625000001</v>
      </c>
      <c r="GI15" s="223">
        <v>1432.0481874999998</v>
      </c>
      <c r="GJ15" s="223">
        <v>1404.8408359375001</v>
      </c>
      <c r="GK15" s="223">
        <v>1469.5034453125002</v>
      </c>
      <c r="GL15" s="223">
        <v>1563.0111874999998</v>
      </c>
      <c r="GM15" s="223">
        <v>1544.4838281249999</v>
      </c>
      <c r="GN15" s="223">
        <v>1607.8175312499998</v>
      </c>
      <c r="GO15" s="223">
        <v>1558.1709062499999</v>
      </c>
      <c r="GP15" s="223">
        <v>1701.6539531249998</v>
      </c>
      <c r="GQ15" s="223">
        <v>1801.1937343749998</v>
      </c>
      <c r="GR15" s="223">
        <v>1786.3313124999997</v>
      </c>
      <c r="GS15" s="223">
        <v>2170.2538671875</v>
      </c>
      <c r="GT15" s="223">
        <v>2232.0442499999999</v>
      </c>
      <c r="GU15" s="223">
        <v>2681.9029687500001</v>
      </c>
      <c r="GV15" s="223">
        <v>2287.1367500000001</v>
      </c>
      <c r="GW15" s="223">
        <v>2768.2011093750002</v>
      </c>
      <c r="GX15" s="223">
        <v>2976.1065937500002</v>
      </c>
      <c r="GY15" s="223">
        <v>3304.8759375000004</v>
      </c>
      <c r="GZ15" s="223">
        <v>3429.5121718749997</v>
      </c>
      <c r="HA15" s="223">
        <v>3697.2993593749998</v>
      </c>
      <c r="HB15" s="223">
        <v>4445.70015625</v>
      </c>
      <c r="HC15" s="223">
        <v>4789.0290937500004</v>
      </c>
      <c r="HD15" s="223">
        <v>5531.5561562500006</v>
      </c>
      <c r="HE15" s="223">
        <v>6071.5230000000001</v>
      </c>
      <c r="HF15" s="223">
        <v>6706.5460000000003</v>
      </c>
      <c r="HG15" s="223">
        <v>8603.0930000000008</v>
      </c>
      <c r="HH15" s="223">
        <v>8963.3160000000007</v>
      </c>
      <c r="HI15" s="223">
        <v>6779.0977499999999</v>
      </c>
      <c r="HJ15" s="223">
        <v>6901.422125000001</v>
      </c>
      <c r="HK15" s="223">
        <v>6835.722562500001</v>
      </c>
      <c r="HL15" s="223">
        <v>6384.5262812500005</v>
      </c>
      <c r="HM15" s="223">
        <v>5901.0859375000009</v>
      </c>
      <c r="HN15" s="223">
        <v>6230.2922500000004</v>
      </c>
      <c r="HO15" s="223">
        <v>6725.0161875000003</v>
      </c>
      <c r="HP15" s="223">
        <v>7236.4548750000004</v>
      </c>
      <c r="HQ15" s="223">
        <v>7882.0381250000009</v>
      </c>
      <c r="HR15" s="223">
        <v>7263.4973125000006</v>
      </c>
      <c r="HS15" s="223">
        <v>8317.7377500000002</v>
      </c>
      <c r="HT15" s="223">
        <v>9004.2151875</v>
      </c>
      <c r="HU15" s="223">
        <v>9914.8871250000011</v>
      </c>
      <c r="HV15" s="223">
        <v>10952.118937500001</v>
      </c>
      <c r="HW15" s="223">
        <v>11952.442249999998</v>
      </c>
      <c r="HX15" s="223">
        <v>11380.035062500001</v>
      </c>
      <c r="HY15" s="224">
        <v>2200.1924614728082</v>
      </c>
      <c r="HZ15" s="224">
        <v>2263.0667867038569</v>
      </c>
      <c r="IA15" s="224">
        <v>2453.7826863012933</v>
      </c>
      <c r="IB15" s="224">
        <v>2367.6862622697545</v>
      </c>
      <c r="IC15" s="224">
        <v>2436.7054117326056</v>
      </c>
      <c r="ID15" s="224">
        <v>2550.6036426210485</v>
      </c>
      <c r="IE15" s="224">
        <v>2480.9741714551819</v>
      </c>
      <c r="IF15" s="224">
        <v>2542.961281155799</v>
      </c>
      <c r="IG15" s="224">
        <v>2427.0854621221492</v>
      </c>
      <c r="IH15" s="224">
        <v>2611.006777147602</v>
      </c>
      <c r="II15" s="224">
        <v>2723.082382712932</v>
      </c>
      <c r="IJ15" s="224">
        <v>2651.7259073741043</v>
      </c>
      <c r="IK15" s="224">
        <v>3164.3591644081448</v>
      </c>
      <c r="IL15" s="224">
        <v>3197.5986996918964</v>
      </c>
      <c r="IM15" s="224">
        <v>3776.093289309983</v>
      </c>
      <c r="IN15" s="224">
        <v>3165.9082575751318</v>
      </c>
      <c r="IO15" s="224">
        <v>3768.2016876192542</v>
      </c>
      <c r="IP15" s="224">
        <v>3985.0609936865026</v>
      </c>
      <c r="IQ15" s="224">
        <v>4354.1908143388191</v>
      </c>
      <c r="IR15" s="224">
        <v>4446.9532382450725</v>
      </c>
      <c r="IS15" s="224">
        <v>4719.5582781874564</v>
      </c>
      <c r="IT15" s="224">
        <v>5587.9005576336676</v>
      </c>
      <c r="IU15" s="224">
        <v>5912.7283312910322</v>
      </c>
      <c r="IV15" s="224">
        <v>6710.5208546895537</v>
      </c>
      <c r="IW15" s="224">
        <v>7239.4703753981757</v>
      </c>
      <c r="IX15" s="224">
        <v>7862.0467323464181</v>
      </c>
      <c r="IY15" s="224">
        <v>9918.4077686244837</v>
      </c>
      <c r="IZ15" s="224">
        <v>10165.428780429716</v>
      </c>
      <c r="JA15" s="224">
        <v>7565.0834418122458</v>
      </c>
      <c r="JB15" s="224">
        <v>7580.1319824440789</v>
      </c>
      <c r="JC15" s="224">
        <v>7391.4046698791826</v>
      </c>
      <c r="JD15" s="224">
        <v>6797.9866258189331</v>
      </c>
      <c r="JE15" s="224">
        <v>6212.2913563483189</v>
      </c>
      <c r="JF15" s="224">
        <v>6485.6262985868516</v>
      </c>
      <c r="JG15" s="224">
        <v>6923.3232191631523</v>
      </c>
      <c r="JH15" s="224">
        <v>7368.4791582084499</v>
      </c>
      <c r="JI15" s="224">
        <v>7939.1328754215683</v>
      </c>
      <c r="JJ15" s="224">
        <v>7237.9163447627061</v>
      </c>
      <c r="JK15" s="224">
        <v>8200.7928044499822</v>
      </c>
      <c r="JL15" s="224">
        <v>8784.7193122911613</v>
      </c>
      <c r="JM15" s="224">
        <v>9573.0155921723435</v>
      </c>
      <c r="JN15" s="224">
        <v>10461.565662041226</v>
      </c>
      <c r="JO15" s="224">
        <v>11295.485516854238</v>
      </c>
      <c r="JP15" s="224">
        <v>10845.100481261765</v>
      </c>
    </row>
    <row r="16" spans="1:276" s="225" customFormat="1" ht="14" customHeight="1">
      <c r="A16" s="217" t="s">
        <v>630</v>
      </c>
      <c r="B16" s="217" t="s">
        <v>631</v>
      </c>
      <c r="C16" s="217">
        <v>8</v>
      </c>
      <c r="D16" s="217" t="s">
        <v>759</v>
      </c>
      <c r="E16" s="218">
        <v>161.78008203970867</v>
      </c>
      <c r="F16" s="218">
        <v>180.36702279143714</v>
      </c>
      <c r="G16" s="218">
        <v>183.11572037900163</v>
      </c>
      <c r="H16" s="218">
        <v>181.32237943268464</v>
      </c>
      <c r="I16" s="218">
        <v>184.39276916175905</v>
      </c>
      <c r="J16" s="218">
        <v>192.64615320257008</v>
      </c>
      <c r="K16" s="218">
        <v>192.29770414656727</v>
      </c>
      <c r="L16" s="218">
        <v>194.41319867811004</v>
      </c>
      <c r="M16" s="218">
        <v>210.42972949401548</v>
      </c>
      <c r="N16" s="218">
        <v>216.81167061423193</v>
      </c>
      <c r="O16" s="218">
        <v>217.05436393768949</v>
      </c>
      <c r="P16" s="218">
        <v>216.68205042421846</v>
      </c>
      <c r="Q16" s="218">
        <v>213.92495447722581</v>
      </c>
      <c r="R16" s="218">
        <v>211.99582866290945</v>
      </c>
      <c r="S16" s="218">
        <v>211.22464197407004</v>
      </c>
      <c r="T16" s="218">
        <v>215.62657880064995</v>
      </c>
      <c r="U16" s="218">
        <v>221.30104805506181</v>
      </c>
      <c r="V16" s="218">
        <v>220.66717964718131</v>
      </c>
      <c r="W16" s="218">
        <v>229.66522778803991</v>
      </c>
      <c r="X16" s="218">
        <v>234.93274189268985</v>
      </c>
      <c r="Y16" s="218">
        <v>283.40657042476278</v>
      </c>
      <c r="Z16" s="218">
        <v>225.26229908866981</v>
      </c>
      <c r="AA16" s="218">
        <v>248.76191459452028</v>
      </c>
      <c r="AB16" s="218">
        <v>243.08337176737842</v>
      </c>
      <c r="AC16" s="218">
        <v>226.42932020246062</v>
      </c>
      <c r="AD16" s="218">
        <v>237.15982614105451</v>
      </c>
      <c r="AE16" s="218">
        <v>258.98578988135398</v>
      </c>
      <c r="AF16" s="218">
        <v>252.2634759266075</v>
      </c>
      <c r="AG16" s="218">
        <v>244.13894863448886</v>
      </c>
      <c r="AH16" s="218">
        <v>247.26628942143032</v>
      </c>
      <c r="AI16" s="218">
        <v>246.23111452654342</v>
      </c>
      <c r="AJ16" s="218">
        <v>295.10802990279421</v>
      </c>
      <c r="AK16" s="218">
        <v>301.90789449650049</v>
      </c>
      <c r="AL16" s="218">
        <v>320.04733894328496</v>
      </c>
      <c r="AM16" s="218">
        <v>308.1174362854884</v>
      </c>
      <c r="AN16" s="218">
        <v>314.15293363108913</v>
      </c>
      <c r="AO16" s="218">
        <v>327.63195774722243</v>
      </c>
      <c r="AP16" s="218">
        <v>338.25353080784055</v>
      </c>
      <c r="AQ16" s="218">
        <v>326.23378891627129</v>
      </c>
      <c r="AR16" s="218">
        <v>306.17468739710267</v>
      </c>
      <c r="AS16" s="218">
        <v>281.75449566153105</v>
      </c>
      <c r="AT16" s="218">
        <v>6852.0537048605238</v>
      </c>
      <c r="AU16" s="218">
        <v>6872.326265841456</v>
      </c>
      <c r="AV16" s="218">
        <v>6841.8525800637035</v>
      </c>
      <c r="AW16" s="218">
        <v>6738.5837797486729</v>
      </c>
      <c r="AX16" s="218">
        <v>6686.6274215380772</v>
      </c>
      <c r="AY16" s="218">
        <v>6677.9281368975126</v>
      </c>
      <c r="AZ16" s="218">
        <v>6984.2007156636428</v>
      </c>
      <c r="BA16" s="218">
        <v>7212.7312114009392</v>
      </c>
      <c r="BB16" s="218">
        <v>7297.0097513006485</v>
      </c>
      <c r="BC16" s="218">
        <v>7536.1256870913994</v>
      </c>
      <c r="BD16" s="218">
        <v>7721.9237715705958</v>
      </c>
      <c r="BE16" s="218">
        <v>9335.3891873410612</v>
      </c>
      <c r="BF16" s="218">
        <v>7462.9589475672383</v>
      </c>
      <c r="BG16" s="218">
        <v>8229.8328489831747</v>
      </c>
      <c r="BH16" s="218">
        <v>8044.2482481029792</v>
      </c>
      <c r="BI16" s="218">
        <v>7589.2575524368385</v>
      </c>
      <c r="BJ16" s="218">
        <v>7828.97421367269</v>
      </c>
      <c r="BK16" s="218">
        <v>8497.4705146242413</v>
      </c>
      <c r="BL16" s="218">
        <v>8295.5235257498334</v>
      </c>
      <c r="BM16" s="218">
        <v>8143.1018151533217</v>
      </c>
      <c r="BN16" s="218">
        <v>8180.9824888949588</v>
      </c>
      <c r="BO16" s="218">
        <v>7993.2572497390738</v>
      </c>
      <c r="BP16" s="218">
        <v>9537.5394176120226</v>
      </c>
      <c r="BQ16" s="218">
        <v>9820.5635127651258</v>
      </c>
      <c r="BR16" s="218">
        <v>10125.736147352245</v>
      </c>
      <c r="BS16" s="218">
        <v>10098.801645302183</v>
      </c>
      <c r="BT16" s="218">
        <v>10396.979118291547</v>
      </c>
      <c r="BU16" s="218">
        <v>10829.704134193002</v>
      </c>
      <c r="BV16" s="218">
        <v>8360.0507760644305</v>
      </c>
      <c r="BW16" s="218">
        <v>8060.7568967687357</v>
      </c>
      <c r="BX16" s="218">
        <v>7718.0049949405084</v>
      </c>
      <c r="BY16" s="218">
        <v>7695.8126082938488</v>
      </c>
      <c r="BZ16" s="218">
        <v>6908.0218774432515</v>
      </c>
      <c r="CA16" s="218">
        <v>7332.7822123305432</v>
      </c>
      <c r="CB16" s="218">
        <v>7589.4239687343879</v>
      </c>
      <c r="CC16" s="218">
        <v>8138.3047647468356</v>
      </c>
      <c r="CD16" s="219">
        <v>4170.0208392597488</v>
      </c>
      <c r="CE16" s="219">
        <v>4619.7535235746382</v>
      </c>
      <c r="CF16" s="219">
        <v>4427.6559618631354</v>
      </c>
      <c r="CG16" s="219">
        <v>4874.6175732021484</v>
      </c>
      <c r="CH16" s="219">
        <v>5242.133190133578</v>
      </c>
      <c r="CI16" s="219">
        <v>4919.1857553805012</v>
      </c>
      <c r="CJ16" s="219">
        <v>4713.8386935753388</v>
      </c>
      <c r="CK16" s="219">
        <v>4796.8252011644126</v>
      </c>
      <c r="CL16" s="219">
        <v>5330.7955024332568</v>
      </c>
      <c r="CM16" s="219">
        <v>4976.3150954430812</v>
      </c>
      <c r="CN16" s="219">
        <v>5287.8079929736214</v>
      </c>
      <c r="CO16" s="219">
        <v>5192.4368453787747</v>
      </c>
      <c r="CP16" s="219">
        <v>5239.5924164152148</v>
      </c>
      <c r="CQ16" s="219">
        <v>4936.6157204947203</v>
      </c>
      <c r="CR16" s="219">
        <v>4861.1917755786999</v>
      </c>
      <c r="CS16" s="219">
        <v>5117.4090841314319</v>
      </c>
      <c r="CT16" s="219">
        <v>5461.1972761215784</v>
      </c>
      <c r="CU16" s="219">
        <v>5646.4432752141765</v>
      </c>
      <c r="CV16" s="219">
        <v>6014.9559239660121</v>
      </c>
      <c r="CW16" s="219">
        <v>5707.4747270160588</v>
      </c>
      <c r="CX16" s="219">
        <v>6363.296256926159</v>
      </c>
      <c r="CY16" s="219">
        <v>6366.1118970563621</v>
      </c>
      <c r="CZ16" s="219">
        <v>6663.0097319521619</v>
      </c>
      <c r="DA16" s="219">
        <v>6498.5885249102785</v>
      </c>
      <c r="DB16" s="219">
        <v>6347.1974904929421</v>
      </c>
      <c r="DC16" s="219">
        <v>5926.5729839332762</v>
      </c>
      <c r="DD16" s="219">
        <v>5243.7911343953492</v>
      </c>
      <c r="DE16" s="219">
        <v>5656.9335947490281</v>
      </c>
      <c r="DF16" s="219">
        <v>6257.459689710061</v>
      </c>
      <c r="DG16" s="219">
        <v>7363.7954525094456</v>
      </c>
      <c r="DH16" s="219">
        <v>7664.4791929794292</v>
      </c>
      <c r="DI16" s="219">
        <v>7648.7587767034101</v>
      </c>
      <c r="DJ16" s="219">
        <v>7646.7418608139806</v>
      </c>
      <c r="DK16" s="219">
        <v>7972.2485744036794</v>
      </c>
      <c r="DL16" s="219">
        <v>8360.0507760644305</v>
      </c>
      <c r="DM16" s="219">
        <v>8060.7568967687357</v>
      </c>
      <c r="DN16" s="219">
        <v>7718.0049949405084</v>
      </c>
      <c r="DO16" s="219">
        <v>7695.8126082938488</v>
      </c>
      <c r="DP16" s="219">
        <v>6908.0218774432515</v>
      </c>
      <c r="DQ16" s="219">
        <v>7332.7822123305432</v>
      </c>
      <c r="DR16" s="219">
        <v>7589.4239687343879</v>
      </c>
      <c r="DS16" s="219">
        <v>8138.3047647468356</v>
      </c>
      <c r="DT16" s="220">
        <v>2.012269995345795</v>
      </c>
      <c r="DU16" s="220">
        <v>2.0189409933935796</v>
      </c>
      <c r="DV16" s="220">
        <v>2.0519021420752823</v>
      </c>
      <c r="DW16" s="220">
        <v>1.9840865319408898</v>
      </c>
      <c r="DX16" s="220">
        <v>1.9635204942899047</v>
      </c>
      <c r="DY16" s="220">
        <v>2.005390770934679</v>
      </c>
      <c r="DZ16" s="220">
        <v>1.9984545677586314</v>
      </c>
      <c r="EA16" s="220">
        <v>1.9455726635700079</v>
      </c>
      <c r="EB16" s="220">
        <v>2.0143203960752114</v>
      </c>
      <c r="EC16" s="220">
        <v>1.935732463785456</v>
      </c>
      <c r="ED16" s="220">
        <v>1.9386878789009705</v>
      </c>
      <c r="EE16" s="220">
        <v>1.8964018497636748</v>
      </c>
      <c r="EF16" s="220">
        <v>1.89111139887215</v>
      </c>
      <c r="EG16" s="221">
        <v>3745</v>
      </c>
      <c r="EH16" s="221">
        <v>6026</v>
      </c>
      <c r="EI16" s="221">
        <v>6329</v>
      </c>
      <c r="EJ16" s="221">
        <v>4462.6000000000004</v>
      </c>
      <c r="EK16" s="221">
        <v>4924.2</v>
      </c>
      <c r="EL16" s="221">
        <v>6696.42</v>
      </c>
      <c r="EM16" s="221">
        <v>7541</v>
      </c>
      <c r="EN16" s="221">
        <v>5595</v>
      </c>
      <c r="EO16" s="222">
        <v>2.2000000000000002</v>
      </c>
      <c r="EP16" s="222">
        <v>2.1</v>
      </c>
      <c r="EQ16" s="222">
        <v>2.1</v>
      </c>
      <c r="ER16" s="222">
        <v>2</v>
      </c>
      <c r="ES16" s="222">
        <v>1.9</v>
      </c>
      <c r="ET16" s="222">
        <v>2</v>
      </c>
      <c r="EU16" s="222">
        <v>2</v>
      </c>
      <c r="EV16" s="222">
        <v>2</v>
      </c>
      <c r="EW16" s="222">
        <v>2.1</v>
      </c>
      <c r="EX16" s="222">
        <v>2</v>
      </c>
      <c r="EY16" s="222">
        <v>2.1</v>
      </c>
      <c r="EZ16" s="222">
        <v>2.7</v>
      </c>
      <c r="FA16" s="222">
        <v>2.2000000000000002</v>
      </c>
      <c r="FB16" s="222">
        <v>2.4</v>
      </c>
      <c r="FC16" s="222">
        <v>2.2999999999999998</v>
      </c>
      <c r="FD16" s="223">
        <v>2.2999999999999998</v>
      </c>
      <c r="FE16" s="223">
        <v>2.2999999999999998</v>
      </c>
      <c r="FF16" s="223">
        <v>2.5</v>
      </c>
      <c r="FG16" s="223">
        <v>2.5</v>
      </c>
      <c r="FH16" s="223">
        <v>2.6</v>
      </c>
      <c r="FI16" s="223">
        <v>2.7</v>
      </c>
      <c r="FJ16" s="223">
        <v>2.5</v>
      </c>
      <c r="FK16" s="223">
        <v>2.7</v>
      </c>
      <c r="FL16" s="223">
        <v>2.7</v>
      </c>
      <c r="FM16" s="223">
        <v>2.7</v>
      </c>
      <c r="FN16" s="223">
        <v>2.7</v>
      </c>
      <c r="FO16" s="223">
        <v>2.7</v>
      </c>
      <c r="FP16" s="223">
        <v>2.7</v>
      </c>
      <c r="FQ16" s="223">
        <v>1.9</v>
      </c>
      <c r="FR16" s="223">
        <v>1.9</v>
      </c>
      <c r="FS16" s="223">
        <v>1.8</v>
      </c>
      <c r="FT16" s="223">
        <v>1.9</v>
      </c>
      <c r="FU16" s="223">
        <v>2.1</v>
      </c>
      <c r="FV16" s="223">
        <v>2.1</v>
      </c>
      <c r="FW16" s="223">
        <v>2.1</v>
      </c>
      <c r="FX16" s="223">
        <v>2.2000000000000002</v>
      </c>
      <c r="FY16" s="223">
        <v>2.1</v>
      </c>
      <c r="FZ16" s="223">
        <v>2</v>
      </c>
      <c r="GA16" s="223">
        <v>2</v>
      </c>
      <c r="GB16" s="223">
        <v>2.1</v>
      </c>
      <c r="GC16" s="223">
        <v>2.2999999999999998</v>
      </c>
      <c r="GD16" s="223">
        <v>2.4</v>
      </c>
      <c r="GE16" s="223" t="s">
        <v>3468</v>
      </c>
      <c r="GF16" s="223">
        <v>2.7</v>
      </c>
      <c r="GG16" s="223">
        <v>2100.5464218750003</v>
      </c>
      <c r="GH16" s="223">
        <v>2097.9380625000003</v>
      </c>
      <c r="GI16" s="223">
        <v>2148.0722812500003</v>
      </c>
      <c r="GJ16" s="223">
        <v>2161.2935937500001</v>
      </c>
      <c r="GK16" s="223">
        <v>2147.7358046875001</v>
      </c>
      <c r="GL16" s="223">
        <v>2232.8731250000001</v>
      </c>
      <c r="GM16" s="223">
        <v>2206.4054687500002</v>
      </c>
      <c r="GN16" s="223">
        <v>2296.8821874999999</v>
      </c>
      <c r="GO16" s="223">
        <v>2337.2563593750001</v>
      </c>
      <c r="GP16" s="223">
        <v>2430.9342187500001</v>
      </c>
      <c r="GQ16" s="223">
        <v>2701.7906015625003</v>
      </c>
      <c r="GR16" s="223">
        <v>3445.0675312500002</v>
      </c>
      <c r="GS16" s="223">
        <v>2808.5638281250003</v>
      </c>
      <c r="GT16" s="223">
        <v>3348.0663749999999</v>
      </c>
      <c r="GU16" s="223">
        <v>3426.876015625</v>
      </c>
      <c r="GV16" s="223">
        <v>3287.7590781250001</v>
      </c>
      <c r="GW16" s="223">
        <v>3745.2132656250001</v>
      </c>
      <c r="GX16" s="223">
        <v>4376.6273437500004</v>
      </c>
      <c r="GY16" s="223">
        <v>4590.10546875</v>
      </c>
      <c r="GZ16" s="223">
        <v>4693.0166562500008</v>
      </c>
      <c r="HA16" s="223">
        <v>5254.0569843750009</v>
      </c>
      <c r="HB16" s="223">
        <v>5849.60546875</v>
      </c>
      <c r="HC16" s="223">
        <v>7606.105031250001</v>
      </c>
      <c r="HD16" s="223">
        <v>8785.4127187500017</v>
      </c>
      <c r="HE16" s="223">
        <v>10245.695062500001</v>
      </c>
      <c r="HF16" s="223">
        <v>11317.296375000002</v>
      </c>
      <c r="HG16" s="223">
        <v>14517.719437500002</v>
      </c>
      <c r="HH16" s="223">
        <v>15125.595750000002</v>
      </c>
      <c r="HI16" s="223">
        <v>10733.571437499999</v>
      </c>
      <c r="HJ16" s="223">
        <v>10086.693874999999</v>
      </c>
      <c r="HK16" s="223">
        <v>9464.8466250000019</v>
      </c>
      <c r="HL16" s="223">
        <v>9331.2307187499991</v>
      </c>
      <c r="HM16" s="223">
        <v>9532.5234375</v>
      </c>
      <c r="HN16" s="223">
        <v>10064.31825</v>
      </c>
      <c r="HO16" s="223">
        <v>10863.487687500001</v>
      </c>
      <c r="HP16" s="223">
        <v>12246.308250000002</v>
      </c>
      <c r="HQ16" s="223">
        <v>12732.523125000002</v>
      </c>
      <c r="HR16" s="223">
        <v>13206.358749999999</v>
      </c>
      <c r="HS16" s="223">
        <v>13862.89625</v>
      </c>
      <c r="HT16" s="223">
        <v>14545.2706875</v>
      </c>
      <c r="HU16" s="223">
        <v>17541.723375000001</v>
      </c>
      <c r="HV16" s="223">
        <v>20219.2965</v>
      </c>
      <c r="HW16" s="223" t="e">
        <v>#VALUE!</v>
      </c>
      <c r="HX16" s="223">
        <v>23635.457437500001</v>
      </c>
      <c r="HY16" s="224">
        <v>2587.8646207423762</v>
      </c>
      <c r="HZ16" s="224">
        <v>2554.2459230693939</v>
      </c>
      <c r="IA16" s="224">
        <v>2584.8766235258704</v>
      </c>
      <c r="IB16" s="224">
        <v>2570.8947089228973</v>
      </c>
      <c r="IC16" s="224">
        <v>2525.7383044842777</v>
      </c>
      <c r="ID16" s="224">
        <v>2596.3580607952076</v>
      </c>
      <c r="IE16" s="224">
        <v>2537.0774935314116</v>
      </c>
      <c r="IF16" s="224">
        <v>2612.0928332187</v>
      </c>
      <c r="IG16" s="224">
        <v>2629.1184829310523</v>
      </c>
      <c r="IH16" s="224">
        <v>2705.0932561902796</v>
      </c>
      <c r="II16" s="224">
        <v>2974.5149541650294</v>
      </c>
      <c r="IJ16" s="224">
        <v>3750.7959193512161</v>
      </c>
      <c r="IK16" s="224">
        <v>3024.2977208070783</v>
      </c>
      <c r="IL16" s="224">
        <v>3566.1614701190028</v>
      </c>
      <c r="IM16" s="224">
        <v>3610.9632469407306</v>
      </c>
      <c r="IN16" s="224">
        <v>3427.6173841945483</v>
      </c>
      <c r="IO16" s="224">
        <v>3863.5405305804979</v>
      </c>
      <c r="IP16" s="224">
        <v>4467.9974903070042</v>
      </c>
      <c r="IQ16" s="224">
        <v>4637.7499083534994</v>
      </c>
      <c r="IR16" s="224">
        <v>4693.4693413679761</v>
      </c>
      <c r="IS16" s="224">
        <v>5201.6230634089197</v>
      </c>
      <c r="IT16" s="224">
        <v>5733.4627145415325</v>
      </c>
      <c r="IU16" s="224">
        <v>7344.7452108210191</v>
      </c>
      <c r="IV16" s="224">
        <v>8359.7970589265242</v>
      </c>
      <c r="IW16" s="224">
        <v>9609.1845966545225</v>
      </c>
      <c r="IX16" s="224">
        <v>10463.792062334722</v>
      </c>
      <c r="IY16" s="224">
        <v>13235.286365148899</v>
      </c>
      <c r="IZ16" s="224">
        <v>13599.432119074007</v>
      </c>
      <c r="JA16" s="224">
        <v>9519.3734500690061</v>
      </c>
      <c r="JB16" s="224">
        <v>8825.6976161405855</v>
      </c>
      <c r="JC16" s="224">
        <v>8171.9931758218381</v>
      </c>
      <c r="JD16" s="224">
        <v>7951.4003600665683</v>
      </c>
      <c r="JE16" s="224">
        <v>8040.3447926696872</v>
      </c>
      <c r="JF16" s="224">
        <v>8403.4593787331232</v>
      </c>
      <c r="JG16" s="224">
        <v>8980.3652607648564</v>
      </c>
      <c r="JH16" s="224">
        <v>10023.605750389526</v>
      </c>
      <c r="JI16" s="224">
        <v>10319.760950760101</v>
      </c>
      <c r="JJ16" s="224">
        <v>10600.248448112327</v>
      </c>
      <c r="JK16" s="224">
        <v>11020.604184522052</v>
      </c>
      <c r="JL16" s="224">
        <v>11453.324368881995</v>
      </c>
      <c r="JM16" s="224">
        <v>13682.942132457212</v>
      </c>
      <c r="JN16" s="224">
        <v>15614.5500698509</v>
      </c>
      <c r="JO16" s="224"/>
      <c r="JP16" s="224">
        <v>18249.613308331809</v>
      </c>
    </row>
    <row r="17" spans="1:276" s="225" customFormat="1" ht="14" customHeight="1">
      <c r="A17" s="217" t="s">
        <v>632</v>
      </c>
      <c r="B17" s="217" t="s">
        <v>633</v>
      </c>
      <c r="C17" s="217">
        <v>9</v>
      </c>
      <c r="D17" s="217" t="s">
        <v>641</v>
      </c>
      <c r="E17" s="218">
        <v>114.15420673003149</v>
      </c>
      <c r="F17" s="218">
        <v>103.5275304284398</v>
      </c>
      <c r="G17" s="218">
        <v>109.19942797320576</v>
      </c>
      <c r="H17" s="218">
        <v>112.80641494649434</v>
      </c>
      <c r="I17" s="218">
        <v>116.54106928529727</v>
      </c>
      <c r="J17" s="218">
        <v>114.05163610199642</v>
      </c>
      <c r="K17" s="218">
        <v>128.01243806286826</v>
      </c>
      <c r="L17" s="218">
        <v>119.20140588401422</v>
      </c>
      <c r="M17" s="218">
        <v>123.62853041624911</v>
      </c>
      <c r="N17" s="218">
        <v>141.95428295590838</v>
      </c>
      <c r="O17" s="218">
        <v>136.45378728963823</v>
      </c>
      <c r="P17" s="218">
        <v>150.21533898086869</v>
      </c>
      <c r="Q17" s="218">
        <v>165.33565986975896</v>
      </c>
      <c r="R17" s="218">
        <v>174.02021799364127</v>
      </c>
      <c r="S17" s="218">
        <v>173.35534850681469</v>
      </c>
      <c r="T17" s="218">
        <v>166.78113266121363</v>
      </c>
      <c r="U17" s="218">
        <v>174.22728163991874</v>
      </c>
      <c r="V17" s="218">
        <v>170.40051046961224</v>
      </c>
      <c r="W17" s="218">
        <v>165.03073489402408</v>
      </c>
      <c r="X17" s="218">
        <v>160.93061390044176</v>
      </c>
      <c r="Y17" s="218">
        <v>163.22987723909796</v>
      </c>
      <c r="Z17" s="218">
        <v>155.26460821434929</v>
      </c>
      <c r="AA17" s="218">
        <v>146.29856242329558</v>
      </c>
      <c r="AB17" s="218">
        <v>138.9439680990256</v>
      </c>
      <c r="AC17" s="218">
        <v>151.67904655104957</v>
      </c>
      <c r="AD17" s="218">
        <v>161.3824129955803</v>
      </c>
      <c r="AE17" s="218">
        <v>165.18213987654141</v>
      </c>
      <c r="AF17" s="218">
        <v>157.38083464008466</v>
      </c>
      <c r="AG17" s="218">
        <v>149.03429409061374</v>
      </c>
      <c r="AH17" s="218">
        <v>143.8733649802534</v>
      </c>
      <c r="AI17" s="218">
        <v>159.91938054914274</v>
      </c>
      <c r="AJ17" s="218">
        <v>171.31126038008728</v>
      </c>
      <c r="AK17" s="218">
        <v>174.72353983082087</v>
      </c>
      <c r="AL17" s="218">
        <v>184.38641653646383</v>
      </c>
      <c r="AM17" s="218">
        <v>175.35324220382032</v>
      </c>
      <c r="AN17" s="218">
        <v>174.69540635210367</v>
      </c>
      <c r="AO17" s="218">
        <v>175.79439865846129</v>
      </c>
      <c r="AP17" s="218">
        <v>177.74096610739639</v>
      </c>
      <c r="AQ17" s="218">
        <v>170.57734652133001</v>
      </c>
      <c r="AR17" s="218">
        <v>158.72407860990813</v>
      </c>
      <c r="AS17" s="218">
        <v>148.10041094898173</v>
      </c>
      <c r="AT17" s="218">
        <v>4486.2823467631306</v>
      </c>
      <c r="AU17" s="218">
        <v>4311.5467378538442</v>
      </c>
      <c r="AV17" s="218">
        <v>4726.2536287791827</v>
      </c>
      <c r="AW17" s="218">
        <v>5184.1789727728801</v>
      </c>
      <c r="AX17" s="218">
        <v>5460.6307547797724</v>
      </c>
      <c r="AY17" s="218">
        <v>5451.8821387999205</v>
      </c>
      <c r="AZ17" s="218">
        <v>5375.3124766661676</v>
      </c>
      <c r="BA17" s="218">
        <v>5654.2792530251872</v>
      </c>
      <c r="BB17" s="218">
        <v>5616.7961600911976</v>
      </c>
      <c r="BC17" s="218">
        <v>5405.6664534021056</v>
      </c>
      <c r="BD17" s="218">
        <v>5289.5731903512005</v>
      </c>
      <c r="BE17" s="218">
        <v>5358.572991093778</v>
      </c>
      <c r="BF17" s="218">
        <v>5113.2953444305485</v>
      </c>
      <c r="BG17" s="218">
        <v>4802.4328965887908</v>
      </c>
      <c r="BH17" s="218">
        <v>4557.2321821697324</v>
      </c>
      <c r="BI17" s="218">
        <v>5036.5210367093077</v>
      </c>
      <c r="BJ17" s="218">
        <v>5278.8393544398132</v>
      </c>
      <c r="BK17" s="218">
        <v>5374.4304170251426</v>
      </c>
      <c r="BL17" s="218">
        <v>5138.9754293496098</v>
      </c>
      <c r="BM17" s="218">
        <v>4945.1902647066145</v>
      </c>
      <c r="BN17" s="218">
        <v>4746.6845495980997</v>
      </c>
      <c r="BO17" s="218">
        <v>5191.3697032404089</v>
      </c>
      <c r="BP17" s="218">
        <v>5533.8992581715629</v>
      </c>
      <c r="BQ17" s="218">
        <v>5679.5775026417341</v>
      </c>
      <c r="BR17" s="218">
        <v>5830.0540904765157</v>
      </c>
      <c r="BS17" s="218">
        <v>5745.6212766289655</v>
      </c>
      <c r="BT17" s="218">
        <v>5821.0721578773937</v>
      </c>
      <c r="BU17" s="218">
        <v>6002.6574677768022</v>
      </c>
      <c r="BV17" s="218">
        <v>5194.4311740858639</v>
      </c>
      <c r="BW17" s="218">
        <v>5125.4475522358116</v>
      </c>
      <c r="BX17" s="218">
        <v>4914.1556910175459</v>
      </c>
      <c r="BY17" s="218">
        <v>4758.4631490489974</v>
      </c>
      <c r="BZ17" s="218">
        <v>4086.4518433935909</v>
      </c>
      <c r="CA17" s="218">
        <v>4238.3106557458004</v>
      </c>
      <c r="CB17" s="218">
        <v>4429.8208238033712</v>
      </c>
      <c r="CC17" s="218">
        <v>4864.6030824962927</v>
      </c>
      <c r="CD17" s="219">
        <v>2671.5523888737785</v>
      </c>
      <c r="CE17" s="219">
        <v>3222.5246194726865</v>
      </c>
      <c r="CF17" s="219">
        <v>2960.4919879192084</v>
      </c>
      <c r="CG17" s="219">
        <v>3239.1620235635069</v>
      </c>
      <c r="CH17" s="219">
        <v>3368.4026392378205</v>
      </c>
      <c r="CI17" s="219">
        <v>3119.0471976245567</v>
      </c>
      <c r="CJ17" s="219">
        <v>3189.1334155895734</v>
      </c>
      <c r="CK17" s="219">
        <v>3211.7577274467776</v>
      </c>
      <c r="CL17" s="219">
        <v>3474.5396548038493</v>
      </c>
      <c r="CM17" s="219">
        <v>3623.808524165494</v>
      </c>
      <c r="CN17" s="219">
        <v>4175.4756862546401</v>
      </c>
      <c r="CO17" s="219">
        <v>4133.0336675263225</v>
      </c>
      <c r="CP17" s="219">
        <v>4205.5595649881525</v>
      </c>
      <c r="CQ17" s="219">
        <v>4059.005693253187</v>
      </c>
      <c r="CR17" s="219">
        <v>3916.7773214759613</v>
      </c>
      <c r="CS17" s="219">
        <v>4058.3677148062015</v>
      </c>
      <c r="CT17" s="219">
        <v>4029.9488377274197</v>
      </c>
      <c r="CU17" s="219">
        <v>4450.2893702111942</v>
      </c>
      <c r="CV17" s="219">
        <v>4448.8972089499121</v>
      </c>
      <c r="CW17" s="219">
        <v>4341.2808078093785</v>
      </c>
      <c r="CX17" s="219">
        <v>4662.6474330276515</v>
      </c>
      <c r="CY17" s="219">
        <v>5308.6097640636563</v>
      </c>
      <c r="CZ17" s="219">
        <v>5330.2393991214758</v>
      </c>
      <c r="DA17" s="219">
        <v>4794.8885303851393</v>
      </c>
      <c r="DB17" s="219">
        <v>4657.7802130876935</v>
      </c>
      <c r="DC17" s="219">
        <v>4640.7915767883096</v>
      </c>
      <c r="DD17" s="219">
        <v>3971.3810829407648</v>
      </c>
      <c r="DE17" s="219">
        <v>2873.0936219225036</v>
      </c>
      <c r="DF17" s="219">
        <v>3229.2988503117181</v>
      </c>
      <c r="DG17" s="219">
        <v>5017.3940033759491</v>
      </c>
      <c r="DH17" s="219">
        <v>4997.8623257734607</v>
      </c>
      <c r="DI17" s="219">
        <v>4935.543289684384</v>
      </c>
      <c r="DJ17" s="219">
        <v>4850.9396823039942</v>
      </c>
      <c r="DK17" s="219">
        <v>5110.2890598121321</v>
      </c>
      <c r="DL17" s="219">
        <v>5194.4311740858639</v>
      </c>
      <c r="DM17" s="219">
        <v>5125.4475522358116</v>
      </c>
      <c r="DN17" s="219">
        <v>4914.1556910175459</v>
      </c>
      <c r="DO17" s="219">
        <v>4758.4631490489974</v>
      </c>
      <c r="DP17" s="219">
        <v>4086.4518433935909</v>
      </c>
      <c r="DQ17" s="219">
        <v>4238.3106557458004</v>
      </c>
      <c r="DR17" s="219">
        <v>4429.8208238033712</v>
      </c>
      <c r="DS17" s="219">
        <v>4864.6030824962927</v>
      </c>
      <c r="DT17" s="220">
        <v>0.54360224829217108</v>
      </c>
      <c r="DU17" s="220">
        <v>0.52573125062408188</v>
      </c>
      <c r="DV17" s="220">
        <v>0.5324139751657988</v>
      </c>
      <c r="DW17" s="220">
        <v>0.50952457475136148</v>
      </c>
      <c r="DX17" s="220">
        <v>0.51281745745150009</v>
      </c>
      <c r="DY17" s="220">
        <v>0.51086344404155959</v>
      </c>
      <c r="DZ17" s="220">
        <v>0.52414567657246303</v>
      </c>
      <c r="EA17" s="220">
        <v>0.51396490253870475</v>
      </c>
      <c r="EB17" s="220">
        <v>0.5196880839238871</v>
      </c>
      <c r="EC17" s="220">
        <v>0.48002184552702676</v>
      </c>
      <c r="ED17" s="220">
        <v>0.4718740451823607</v>
      </c>
      <c r="EE17" s="220">
        <v>0.46819332919295509</v>
      </c>
      <c r="EF17" s="220">
        <v>0.4802033453118037</v>
      </c>
      <c r="EG17" s="221">
        <v>2535</v>
      </c>
      <c r="EH17" s="221">
        <v>3632</v>
      </c>
      <c r="EI17" s="221">
        <v>2861</v>
      </c>
      <c r="EJ17" s="221">
        <v>2189.08</v>
      </c>
      <c r="EK17" s="221">
        <v>3266.8</v>
      </c>
      <c r="EL17" s="221">
        <v>2785.06</v>
      </c>
      <c r="EM17" s="221">
        <v>6206</v>
      </c>
      <c r="EN17" s="221">
        <v>3607</v>
      </c>
      <c r="EO17" s="222">
        <v>0.4</v>
      </c>
      <c r="EP17" s="222">
        <v>0.4</v>
      </c>
      <c r="EQ17" s="222">
        <v>0.4</v>
      </c>
      <c r="ER17" s="222">
        <v>0.5</v>
      </c>
      <c r="ES17" s="222">
        <v>0.5</v>
      </c>
      <c r="ET17" s="222">
        <v>0.5</v>
      </c>
      <c r="EU17" s="222">
        <v>0.5</v>
      </c>
      <c r="EV17" s="222">
        <v>0.5</v>
      </c>
      <c r="EW17" s="222">
        <v>0.5</v>
      </c>
      <c r="EX17" s="222">
        <v>0.5</v>
      </c>
      <c r="EY17" s="222">
        <v>0.5</v>
      </c>
      <c r="EZ17" s="222">
        <v>0.5</v>
      </c>
      <c r="FA17" s="222">
        <v>0.5</v>
      </c>
      <c r="FB17" s="222">
        <v>0.5</v>
      </c>
      <c r="FC17" s="222">
        <v>0.5</v>
      </c>
      <c r="FD17" s="223">
        <v>0.6</v>
      </c>
      <c r="FE17" s="223">
        <v>0.6</v>
      </c>
      <c r="FF17" s="223">
        <v>0.6</v>
      </c>
      <c r="FG17" s="223">
        <v>0.6</v>
      </c>
      <c r="FH17" s="223">
        <v>0.6</v>
      </c>
      <c r="FI17" s="223">
        <v>0.6</v>
      </c>
      <c r="FJ17" s="223">
        <v>0.6</v>
      </c>
      <c r="FK17" s="223">
        <v>0.6</v>
      </c>
      <c r="FL17" s="223">
        <v>0.6</v>
      </c>
      <c r="FM17" s="223">
        <v>0.6</v>
      </c>
      <c r="FN17" s="223">
        <v>0.6</v>
      </c>
      <c r="FO17" s="223">
        <v>0.6</v>
      </c>
      <c r="FP17" s="223">
        <v>0.6</v>
      </c>
      <c r="FQ17" s="223">
        <v>0.5</v>
      </c>
      <c r="FR17" s="223">
        <v>0.5</v>
      </c>
      <c r="FS17" s="223">
        <v>0.5</v>
      </c>
      <c r="FT17" s="223">
        <v>0.6</v>
      </c>
      <c r="FU17" s="223">
        <v>0.6</v>
      </c>
      <c r="FV17" s="223">
        <v>0.6</v>
      </c>
      <c r="FW17" s="223">
        <v>0.5</v>
      </c>
      <c r="FX17" s="223">
        <v>0.5</v>
      </c>
      <c r="FY17" s="223">
        <v>0.5</v>
      </c>
      <c r="FZ17" s="223">
        <v>0.5</v>
      </c>
      <c r="GA17" s="223" t="s">
        <v>3468</v>
      </c>
      <c r="GB17" s="223" t="s">
        <v>3468</v>
      </c>
      <c r="GC17" s="223" t="s">
        <v>3468</v>
      </c>
      <c r="GD17" s="223" t="s">
        <v>3468</v>
      </c>
      <c r="GE17" s="223" t="s">
        <v>3468</v>
      </c>
      <c r="GF17" s="223" t="s">
        <v>3468</v>
      </c>
      <c r="GG17" s="223">
        <v>381.91753125000002</v>
      </c>
      <c r="GH17" s="223">
        <v>399.60725000000002</v>
      </c>
      <c r="GI17" s="223">
        <v>409.15662500000002</v>
      </c>
      <c r="GJ17" s="223">
        <v>540.32339843750003</v>
      </c>
      <c r="GK17" s="223">
        <v>565.19363281250003</v>
      </c>
      <c r="GL17" s="223">
        <v>558.21828125000002</v>
      </c>
      <c r="GM17" s="223">
        <v>551.60136718750005</v>
      </c>
      <c r="GN17" s="223">
        <v>574.22054687499997</v>
      </c>
      <c r="GO17" s="223">
        <v>556.48960937499999</v>
      </c>
      <c r="GP17" s="223">
        <v>607.73355468750003</v>
      </c>
      <c r="GQ17" s="223">
        <v>643.28347656250003</v>
      </c>
      <c r="GR17" s="223">
        <v>637.97546875</v>
      </c>
      <c r="GS17" s="223">
        <v>638.30996093750002</v>
      </c>
      <c r="GT17" s="223">
        <v>697.51382812500003</v>
      </c>
      <c r="GU17" s="223">
        <v>744.97304687500002</v>
      </c>
      <c r="GV17" s="223">
        <v>857.67628124999999</v>
      </c>
      <c r="GW17" s="223">
        <v>977.01215624999998</v>
      </c>
      <c r="GX17" s="223">
        <v>1050.3905625</v>
      </c>
      <c r="GY17" s="223">
        <v>1101.6253125000001</v>
      </c>
      <c r="GZ17" s="223">
        <v>1083.00384375</v>
      </c>
      <c r="HA17" s="223">
        <v>1167.5682187499999</v>
      </c>
      <c r="HB17" s="223">
        <v>1403.9053125</v>
      </c>
      <c r="HC17" s="223">
        <v>1690.2455625</v>
      </c>
      <c r="HD17" s="223">
        <v>1952.3139375000001</v>
      </c>
      <c r="HE17" s="223">
        <v>2276.8211249999999</v>
      </c>
      <c r="HF17" s="223">
        <v>2514.9547499999999</v>
      </c>
      <c r="HG17" s="223">
        <v>3226.1598750000003</v>
      </c>
      <c r="HH17" s="223">
        <v>3361.2435</v>
      </c>
      <c r="HI17" s="223">
        <v>2824.6240625</v>
      </c>
      <c r="HJ17" s="223">
        <v>2654.3931250000001</v>
      </c>
      <c r="HK17" s="223">
        <v>2629.1240625</v>
      </c>
      <c r="HL17" s="223">
        <v>2946.7044375</v>
      </c>
      <c r="HM17" s="223">
        <v>2723.578125</v>
      </c>
      <c r="HN17" s="223">
        <v>2875.5194999999999</v>
      </c>
      <c r="HO17" s="223">
        <v>2586.5446875000002</v>
      </c>
      <c r="HP17" s="223">
        <v>2783.2518749999999</v>
      </c>
      <c r="HQ17" s="223">
        <v>3031.5531249999999</v>
      </c>
      <c r="HR17" s="223">
        <v>3301.5896874999999</v>
      </c>
      <c r="HS17" s="223" t="e">
        <v>#VALUE!</v>
      </c>
      <c r="HT17" s="223" t="e">
        <v>#VALUE!</v>
      </c>
      <c r="HU17" s="223" t="e">
        <v>#VALUE!</v>
      </c>
      <c r="HV17" s="223" t="e">
        <v>#VALUE!</v>
      </c>
      <c r="HW17" s="223" t="e">
        <v>#VALUE!</v>
      </c>
      <c r="HX17" s="223" t="e">
        <v>#VALUE!</v>
      </c>
      <c r="HY17" s="224">
        <v>1631.6032521627683</v>
      </c>
      <c r="HZ17" s="224">
        <v>1663.2546839582078</v>
      </c>
      <c r="IA17" s="224">
        <v>1660.2862430783639</v>
      </c>
      <c r="IB17" s="224">
        <v>2138.8900042890746</v>
      </c>
      <c r="IC17" s="224">
        <v>2183.9028964183899</v>
      </c>
      <c r="ID17" s="224">
        <v>2106.6351219521398</v>
      </c>
      <c r="IE17" s="224">
        <v>2034.2118746178485</v>
      </c>
      <c r="IF17" s="224">
        <v>2070.4316269108981</v>
      </c>
      <c r="IG17" s="224">
        <v>1962.755998509477</v>
      </c>
      <c r="IH17" s="224">
        <v>2097.7610896554365</v>
      </c>
      <c r="II17" s="224">
        <v>2174.0849600100714</v>
      </c>
      <c r="IJ17" s="224">
        <v>2090.3004160611363</v>
      </c>
      <c r="IK17" s="224">
        <v>2029.4211589734321</v>
      </c>
      <c r="IL17" s="224">
        <v>2153.8266398926362</v>
      </c>
      <c r="IM17" s="224">
        <v>2236.0202911775932</v>
      </c>
      <c r="IN17" s="224">
        <v>2504.239415441742</v>
      </c>
      <c r="IO17" s="224">
        <v>2777.0995890768054</v>
      </c>
      <c r="IP17" s="224">
        <v>2908.6151176462868</v>
      </c>
      <c r="IQ17" s="224">
        <v>2973.7380704986481</v>
      </c>
      <c r="IR17" s="224">
        <v>2851.7218236335598</v>
      </c>
      <c r="IS17" s="224">
        <v>3000.7475569109602</v>
      </c>
      <c r="IT17" s="224">
        <v>3523.743734516695</v>
      </c>
      <c r="IU17" s="224">
        <v>4147.4551146150789</v>
      </c>
      <c r="IV17" s="224">
        <v>4685.5946832332129</v>
      </c>
      <c r="IW17" s="224">
        <v>5347.3116316100968</v>
      </c>
      <c r="IX17" s="224">
        <v>5782.6617047547443</v>
      </c>
      <c r="IY17" s="224">
        <v>7265.5040221782829</v>
      </c>
      <c r="IZ17" s="224">
        <v>7417.2946599788593</v>
      </c>
      <c r="JA17" s="224">
        <v>6110.096006169314</v>
      </c>
      <c r="JB17" s="224">
        <v>5630.7168554961363</v>
      </c>
      <c r="JC17" s="224">
        <v>5471.2094829129019</v>
      </c>
      <c r="JD17" s="224">
        <v>6017.8213128212665</v>
      </c>
      <c r="JE17" s="224">
        <v>5480.0388945846207</v>
      </c>
      <c r="JF17" s="224">
        <v>5701.5884392755506</v>
      </c>
      <c r="JG17" s="224">
        <v>5055.0703658914563</v>
      </c>
      <c r="JH17" s="224">
        <v>5362.6159132044659</v>
      </c>
      <c r="JI17" s="224">
        <v>5759.6105963502505</v>
      </c>
      <c r="JJ17" s="224">
        <v>6186.4169227812417</v>
      </c>
      <c r="JK17" s="224"/>
      <c r="JL17" s="224"/>
      <c r="JM17" s="224"/>
      <c r="JN17" s="224"/>
      <c r="JO17" s="224"/>
      <c r="JP17" s="224"/>
    </row>
    <row r="18" spans="1:276" s="225" customFormat="1" ht="14" customHeight="1">
      <c r="A18" s="217" t="s">
        <v>634</v>
      </c>
      <c r="B18" s="217" t="s">
        <v>715</v>
      </c>
      <c r="C18" s="217">
        <v>10</v>
      </c>
      <c r="D18" s="217" t="s">
        <v>664</v>
      </c>
      <c r="E18" s="218">
        <v>148.29386998029153</v>
      </c>
      <c r="F18" s="218">
        <v>134.46110730338958</v>
      </c>
      <c r="G18" s="218">
        <v>144.56643802897131</v>
      </c>
      <c r="H18" s="218">
        <v>145.75604509567395</v>
      </c>
      <c r="I18" s="218">
        <v>154.65825957715398</v>
      </c>
      <c r="J18" s="218">
        <v>159.52471123012904</v>
      </c>
      <c r="K18" s="218">
        <v>161.00000681984861</v>
      </c>
      <c r="L18" s="218">
        <v>168.72329405176853</v>
      </c>
      <c r="M18" s="218">
        <v>188.90550307644205</v>
      </c>
      <c r="N18" s="218">
        <v>198.96394365577726</v>
      </c>
      <c r="O18" s="218">
        <v>201.47474716114314</v>
      </c>
      <c r="P18" s="218">
        <v>246.26843510104644</v>
      </c>
      <c r="Q18" s="218">
        <v>244.5356535959186</v>
      </c>
      <c r="R18" s="218">
        <v>273.40396927880943</v>
      </c>
      <c r="S18" s="218">
        <v>241.21353134787691</v>
      </c>
      <c r="T18" s="218">
        <v>242.76413450271568</v>
      </c>
      <c r="U18" s="218">
        <v>245.27926102839612</v>
      </c>
      <c r="V18" s="218">
        <v>219.92085827508208</v>
      </c>
      <c r="W18" s="218">
        <v>231.06749164395617</v>
      </c>
      <c r="X18" s="218">
        <v>260.35444824617394</v>
      </c>
      <c r="Y18" s="218">
        <v>250.43682414541894</v>
      </c>
      <c r="Z18" s="218">
        <v>246.18516209661433</v>
      </c>
      <c r="AA18" s="218">
        <v>231.18980934996588</v>
      </c>
      <c r="AB18" s="218">
        <v>224.88904789507359</v>
      </c>
      <c r="AC18" s="218">
        <v>213.39281350483813</v>
      </c>
      <c r="AD18" s="218">
        <v>215.78472786548076</v>
      </c>
      <c r="AE18" s="218">
        <v>217.73254961310622</v>
      </c>
      <c r="AF18" s="218">
        <v>214.92860028557087</v>
      </c>
      <c r="AG18" s="218">
        <v>208.61096281847622</v>
      </c>
      <c r="AH18" s="218">
        <v>214.35426207836107</v>
      </c>
      <c r="AI18" s="218">
        <v>220.92560685220855</v>
      </c>
      <c r="AJ18" s="218">
        <v>212.89463691690077</v>
      </c>
      <c r="AK18" s="218">
        <v>209.91067198999352</v>
      </c>
      <c r="AL18" s="218">
        <v>223.34434728292709</v>
      </c>
      <c r="AM18" s="218">
        <v>212.50639483292758</v>
      </c>
      <c r="AN18" s="218">
        <v>213.51373003195806</v>
      </c>
      <c r="AO18" s="218">
        <v>217.9929348544506</v>
      </c>
      <c r="AP18" s="218">
        <v>220.97247619618639</v>
      </c>
      <c r="AQ18" s="218">
        <v>214.56555667487254</v>
      </c>
      <c r="AR18" s="218">
        <v>202.47019062925284</v>
      </c>
      <c r="AS18" s="218">
        <v>187.71295773442026</v>
      </c>
      <c r="AT18" s="218">
        <v>6287.999273276846</v>
      </c>
      <c r="AU18" s="218">
        <v>6354.0065177675424</v>
      </c>
      <c r="AV18" s="218">
        <v>7723.1708441246683</v>
      </c>
      <c r="AW18" s="218">
        <v>7635.7243754304673</v>
      </c>
      <c r="AX18" s="218">
        <v>8539.6820571338194</v>
      </c>
      <c r="AY18" s="218">
        <v>7550.5280739206719</v>
      </c>
      <c r="AZ18" s="218">
        <v>7790.0504501471369</v>
      </c>
      <c r="BA18" s="218">
        <v>7930.5072900851656</v>
      </c>
      <c r="BB18" s="218">
        <v>7229.0281969575453</v>
      </c>
      <c r="BC18" s="218">
        <v>7557.2241361191773</v>
      </c>
      <c r="BD18" s="218">
        <v>8557.5011245754085</v>
      </c>
      <c r="BE18" s="218">
        <v>8236.1488147165092</v>
      </c>
      <c r="BF18" s="218">
        <v>8133.0199477496062</v>
      </c>
      <c r="BG18" s="218">
        <v>7620.0815732073079</v>
      </c>
      <c r="BH18" s="218">
        <v>7410.4346227878677</v>
      </c>
      <c r="BI18" s="218">
        <v>7120.1790543318275</v>
      </c>
      <c r="BJ18" s="218">
        <v>7091.8531937102971</v>
      </c>
      <c r="BK18" s="218">
        <v>7114.8953769557511</v>
      </c>
      <c r="BL18" s="218">
        <v>7043.5372774497346</v>
      </c>
      <c r="BM18" s="218">
        <v>6940.4415664545495</v>
      </c>
      <c r="BN18" s="218">
        <v>7082.2141162104126</v>
      </c>
      <c r="BO18" s="218">
        <v>7171.7792936930273</v>
      </c>
      <c r="BP18" s="218">
        <v>6879.1723617789821</v>
      </c>
      <c r="BQ18" s="218">
        <v>6826.654756055179</v>
      </c>
      <c r="BR18" s="218">
        <v>7065.9297797434456</v>
      </c>
      <c r="BS18" s="218">
        <v>6967.0578767327643</v>
      </c>
      <c r="BT18" s="218">
        <v>7124.4757062363133</v>
      </c>
      <c r="BU18" s="218">
        <v>7437.5304651176757</v>
      </c>
      <c r="BV18" s="218">
        <v>6269.4953285611209</v>
      </c>
      <c r="BW18" s="218">
        <v>5947.6930226861532</v>
      </c>
      <c r="BX18" s="218">
        <v>5704.0847404391752</v>
      </c>
      <c r="BY18" s="218">
        <v>5667.5374220199001</v>
      </c>
      <c r="BZ18" s="218">
        <v>5378.7404477802338</v>
      </c>
      <c r="CA18" s="218">
        <v>5607.308420882161</v>
      </c>
      <c r="CB18" s="218">
        <v>5802.8744528002371</v>
      </c>
      <c r="CC18" s="218">
        <v>6208.511095917791</v>
      </c>
      <c r="CD18" s="219">
        <v>3209.3270968096581</v>
      </c>
      <c r="CE18" s="219">
        <v>3383.2953992563357</v>
      </c>
      <c r="CF18" s="219">
        <v>3301.8966777004821</v>
      </c>
      <c r="CG18" s="219">
        <v>3422.8197409438635</v>
      </c>
      <c r="CH18" s="219">
        <v>3400.0347138638008</v>
      </c>
      <c r="CI18" s="219">
        <v>3048.3014462361793</v>
      </c>
      <c r="CJ18" s="219">
        <v>3067.603095865084</v>
      </c>
      <c r="CK18" s="219">
        <v>3335.6815968555093</v>
      </c>
      <c r="CL18" s="219">
        <v>3250.8226481751008</v>
      </c>
      <c r="CM18" s="219">
        <v>3225.8374363937073</v>
      </c>
      <c r="CN18" s="219">
        <v>3250.6982860022781</v>
      </c>
      <c r="CO18" s="219">
        <v>3102.3455373604261</v>
      </c>
      <c r="CP18" s="219">
        <v>3189.4399488189861</v>
      </c>
      <c r="CQ18" s="219">
        <v>3193.724034097067</v>
      </c>
      <c r="CR18" s="219">
        <v>2900.4738408607154</v>
      </c>
      <c r="CS18" s="219">
        <v>3261.772470389184</v>
      </c>
      <c r="CT18" s="219">
        <v>3541.1178181659138</v>
      </c>
      <c r="CU18" s="219">
        <v>3535.0035815491019</v>
      </c>
      <c r="CV18" s="219">
        <v>3711.5870745027755</v>
      </c>
      <c r="CW18" s="219">
        <v>3543.0906396885748</v>
      </c>
      <c r="CX18" s="219">
        <v>3438.6602701019365</v>
      </c>
      <c r="CY18" s="219">
        <v>4436.2590875024771</v>
      </c>
      <c r="CZ18" s="219">
        <v>4144.5988163200891</v>
      </c>
      <c r="DA18" s="219">
        <v>3773.3369994444902</v>
      </c>
      <c r="DB18" s="219">
        <v>3734.5434702125549</v>
      </c>
      <c r="DC18" s="219">
        <v>3387.5149543808843</v>
      </c>
      <c r="DD18" s="219">
        <v>3183.4891797769346</v>
      </c>
      <c r="DE18" s="219">
        <v>3444.5461196238043</v>
      </c>
      <c r="DF18" s="219">
        <v>3830.0562112994671</v>
      </c>
      <c r="DG18" s="219">
        <v>5810.6812102105214</v>
      </c>
      <c r="DH18" s="219">
        <v>5914.8162635623521</v>
      </c>
      <c r="DI18" s="219">
        <v>5878.3335140189211</v>
      </c>
      <c r="DJ18" s="219">
        <v>5747.1244273203265</v>
      </c>
      <c r="DK18" s="219">
        <v>6082.9071075368356</v>
      </c>
      <c r="DL18" s="219">
        <v>6269.4953285611209</v>
      </c>
      <c r="DM18" s="219">
        <v>5947.6930226861532</v>
      </c>
      <c r="DN18" s="219">
        <v>5704.0847404391752</v>
      </c>
      <c r="DO18" s="219">
        <v>5667.5374220199001</v>
      </c>
      <c r="DP18" s="219">
        <v>5378.7404477802338</v>
      </c>
      <c r="DQ18" s="219">
        <v>5607.308420882161</v>
      </c>
      <c r="DR18" s="219">
        <v>5802.8744528002371</v>
      </c>
      <c r="DS18" s="219">
        <v>6208.511095917791</v>
      </c>
      <c r="DT18" s="220">
        <v>0.80574390085953884</v>
      </c>
      <c r="DU18" s="220">
        <v>0.79455868006111097</v>
      </c>
      <c r="DV18" s="220">
        <v>0.80807290660585374</v>
      </c>
      <c r="DW18" s="220">
        <v>0.76768743795223215</v>
      </c>
      <c r="DX18" s="220">
        <v>0.77476474207676649</v>
      </c>
      <c r="DY18" s="220">
        <v>0.78112331686206726</v>
      </c>
      <c r="DZ18" s="220">
        <v>0.76912712657076487</v>
      </c>
      <c r="EA18" s="220">
        <v>0.75307415584582793</v>
      </c>
      <c r="EB18" s="220">
        <v>0.7800144750696193</v>
      </c>
      <c r="EC18" s="220">
        <v>0.79595538627943807</v>
      </c>
      <c r="ED18" s="220">
        <v>0.78622447615108504</v>
      </c>
      <c r="EE18" s="220">
        <v>0.7721651121211689</v>
      </c>
      <c r="EF18" s="220">
        <v>0.77137570115323628</v>
      </c>
      <c r="EG18" s="221">
        <v>4321</v>
      </c>
      <c r="EH18" s="221">
        <v>4871</v>
      </c>
      <c r="EI18" s="221">
        <v>5896</v>
      </c>
      <c r="EJ18" s="221">
        <v>3365.3</v>
      </c>
      <c r="EK18" s="221">
        <v>5106.54</v>
      </c>
      <c r="EL18" s="221">
        <v>3879.61</v>
      </c>
      <c r="EM18" s="221">
        <v>5571</v>
      </c>
      <c r="EN18" s="221">
        <v>4290</v>
      </c>
      <c r="EO18" s="222">
        <v>0.7</v>
      </c>
      <c r="EP18" s="222">
        <v>0.7</v>
      </c>
      <c r="EQ18" s="222">
        <v>0.9</v>
      </c>
      <c r="ER18" s="222">
        <v>0.9</v>
      </c>
      <c r="ES18" s="222">
        <v>1</v>
      </c>
      <c r="ET18" s="222">
        <v>0.9</v>
      </c>
      <c r="EU18" s="222">
        <v>1</v>
      </c>
      <c r="EV18" s="222">
        <v>0.9</v>
      </c>
      <c r="EW18" s="222">
        <v>0.9</v>
      </c>
      <c r="EX18" s="222">
        <v>0.9</v>
      </c>
      <c r="EY18" s="222">
        <v>1</v>
      </c>
      <c r="EZ18" s="222">
        <v>1.1000000000000001</v>
      </c>
      <c r="FA18" s="222">
        <v>1.1000000000000001</v>
      </c>
      <c r="FB18" s="222">
        <v>1</v>
      </c>
      <c r="FC18" s="222">
        <v>1</v>
      </c>
      <c r="FD18" s="223">
        <v>1</v>
      </c>
      <c r="FE18" s="223">
        <v>1</v>
      </c>
      <c r="FF18" s="223">
        <v>1</v>
      </c>
      <c r="FG18" s="223">
        <v>1</v>
      </c>
      <c r="FH18" s="223">
        <v>1.1000000000000001</v>
      </c>
      <c r="FI18" s="223">
        <v>1.2</v>
      </c>
      <c r="FJ18" s="223">
        <v>1.1000000000000001</v>
      </c>
      <c r="FK18" s="223">
        <v>1</v>
      </c>
      <c r="FL18" s="223">
        <v>0.9</v>
      </c>
      <c r="FM18" s="223">
        <v>0.9</v>
      </c>
      <c r="FN18" s="223">
        <v>1</v>
      </c>
      <c r="FO18" s="223">
        <v>1</v>
      </c>
      <c r="FP18" s="223">
        <v>0.9</v>
      </c>
      <c r="FQ18" s="223">
        <v>0.8</v>
      </c>
      <c r="FR18" s="223">
        <v>0.8</v>
      </c>
      <c r="FS18" s="223">
        <v>0.8</v>
      </c>
      <c r="FT18" s="223">
        <v>0.8</v>
      </c>
      <c r="FU18" s="223">
        <v>0.9</v>
      </c>
      <c r="FV18" s="223">
        <v>0.9</v>
      </c>
      <c r="FW18" s="223">
        <v>0.9</v>
      </c>
      <c r="FX18" s="223">
        <v>0.8</v>
      </c>
      <c r="FY18" s="223">
        <v>0.8</v>
      </c>
      <c r="FZ18" s="223" t="s">
        <v>3468</v>
      </c>
      <c r="GA18" s="223" t="s">
        <v>3468</v>
      </c>
      <c r="GB18" s="223" t="s">
        <v>3468</v>
      </c>
      <c r="GC18" s="223" t="s">
        <v>3468</v>
      </c>
      <c r="GD18" s="223" t="s">
        <v>3468</v>
      </c>
      <c r="GE18" s="223" t="s">
        <v>3468</v>
      </c>
      <c r="GF18" s="223" t="s">
        <v>3468</v>
      </c>
      <c r="GG18" s="223">
        <v>668.3556796874999</v>
      </c>
      <c r="GH18" s="223">
        <v>699.31268749999992</v>
      </c>
      <c r="GI18" s="223">
        <v>920.60240625000006</v>
      </c>
      <c r="GJ18" s="223">
        <v>972.5821171875001</v>
      </c>
      <c r="GK18" s="223">
        <v>1130.3872656250001</v>
      </c>
      <c r="GL18" s="223">
        <v>1004.7929062500001</v>
      </c>
      <c r="GM18" s="223">
        <v>1103.2027343750001</v>
      </c>
      <c r="GN18" s="223">
        <v>1033.5969843750001</v>
      </c>
      <c r="GO18" s="223">
        <v>1001.6812968750002</v>
      </c>
      <c r="GP18" s="223">
        <v>1093.9203984375001</v>
      </c>
      <c r="GQ18" s="223">
        <v>1286.5669531250001</v>
      </c>
      <c r="GR18" s="223">
        <v>1403.5460312500002</v>
      </c>
      <c r="GS18" s="223">
        <v>1404.2819140625002</v>
      </c>
      <c r="GT18" s="223">
        <v>1395.0276562500001</v>
      </c>
      <c r="GU18" s="223">
        <v>1489.94609375</v>
      </c>
      <c r="GV18" s="223">
        <v>1429.46046875</v>
      </c>
      <c r="GW18" s="223">
        <v>1628.3535937500001</v>
      </c>
      <c r="GX18" s="223">
        <v>1750.6509375000001</v>
      </c>
      <c r="GY18" s="223">
        <v>1836.0421875</v>
      </c>
      <c r="GZ18" s="223">
        <v>1985.5070468750002</v>
      </c>
      <c r="HA18" s="223">
        <v>2335.1364374999998</v>
      </c>
      <c r="HB18" s="223">
        <v>2573.8264062500002</v>
      </c>
      <c r="HC18" s="223">
        <v>2817.0759375000002</v>
      </c>
      <c r="HD18" s="223">
        <v>2928.4709062500006</v>
      </c>
      <c r="HE18" s="223">
        <v>3415.2316875000006</v>
      </c>
      <c r="HF18" s="223">
        <v>4191.5912500000004</v>
      </c>
      <c r="HG18" s="223">
        <v>5376.9331250000005</v>
      </c>
      <c r="HH18" s="223">
        <v>5041.8652500000007</v>
      </c>
      <c r="HI18" s="223">
        <v>4519.3985000000002</v>
      </c>
      <c r="HJ18" s="223">
        <v>4247.0290000000005</v>
      </c>
      <c r="HK18" s="223">
        <v>4206.5985000000001</v>
      </c>
      <c r="HL18" s="223">
        <v>3928.9392499999999</v>
      </c>
      <c r="HM18" s="223">
        <v>4085.3671875000005</v>
      </c>
      <c r="HN18" s="223">
        <v>4313.2792500000005</v>
      </c>
      <c r="HO18" s="223">
        <v>4655.7804375000005</v>
      </c>
      <c r="HP18" s="223">
        <v>4453.2030000000004</v>
      </c>
      <c r="HQ18" s="223">
        <v>4850.4849999999997</v>
      </c>
      <c r="HR18" s="223" t="e">
        <v>#VALUE!</v>
      </c>
      <c r="HS18" s="223" t="e">
        <v>#VALUE!</v>
      </c>
      <c r="HT18" s="223" t="e">
        <v>#VALUE!</v>
      </c>
      <c r="HU18" s="223" t="e">
        <v>#VALUE!</v>
      </c>
      <c r="HV18" s="223" t="e">
        <v>#VALUE!</v>
      </c>
      <c r="HW18" s="223" t="e">
        <v>#VALUE!</v>
      </c>
      <c r="HX18" s="223" t="e">
        <v>#VALUE!</v>
      </c>
      <c r="HY18" s="224">
        <v>2209.9078141739074</v>
      </c>
      <c r="HZ18" s="224">
        <v>2232.8476081217595</v>
      </c>
      <c r="IA18" s="224">
        <v>2841.8004924519305</v>
      </c>
      <c r="IB18" s="224">
        <v>2905.7664576110615</v>
      </c>
      <c r="IC18" s="224">
        <v>3272.0765346426033</v>
      </c>
      <c r="ID18" s="224">
        <v>2820.6930123630773</v>
      </c>
      <c r="IE18" s="224">
        <v>3006.1723780939083</v>
      </c>
      <c r="IF18" s="224">
        <v>2736.2917218859502</v>
      </c>
      <c r="IG18" s="224">
        <v>2578.3727116096638</v>
      </c>
      <c r="IH18" s="224">
        <v>2739.9328903974651</v>
      </c>
      <c r="II18" s="224">
        <v>3137.9069509009582</v>
      </c>
      <c r="IJ18" s="224">
        <v>3347.2760785691908</v>
      </c>
      <c r="IK18" s="224">
        <v>3276.3490145057135</v>
      </c>
      <c r="IL18" s="224">
        <v>3185.6221001565768</v>
      </c>
      <c r="IM18" s="224">
        <v>3331.6055175306478</v>
      </c>
      <c r="IN18" s="224">
        <v>3131.2278547670294</v>
      </c>
      <c r="IO18" s="224">
        <v>3495.6754033134512</v>
      </c>
      <c r="IP18" s="224">
        <v>3684.6395150493763</v>
      </c>
      <c r="IQ18" s="224">
        <v>3790.161004239123</v>
      </c>
      <c r="IR18" s="224">
        <v>4021.482248231699</v>
      </c>
      <c r="IS18" s="224">
        <v>4642.1683522054445</v>
      </c>
      <c r="IT18" s="224">
        <v>5023.7765308034486</v>
      </c>
      <c r="IU18" s="224">
        <v>5388.4143177231017</v>
      </c>
      <c r="IV18" s="224">
        <v>5491.4753421212818</v>
      </c>
      <c r="IW18" s="224">
        <v>6280.8951029261298</v>
      </c>
      <c r="IX18" s="224">
        <v>7563.0103319496548</v>
      </c>
      <c r="IY18" s="224">
        <v>9521.8190406873782</v>
      </c>
      <c r="IZ18" s="224">
        <v>8765.8788002282472</v>
      </c>
      <c r="JA18" s="224">
        <v>7716.9880684949931</v>
      </c>
      <c r="JB18" s="224">
        <v>7124.4985457533294</v>
      </c>
      <c r="JC18" s="224">
        <v>6934.8345240340423</v>
      </c>
      <c r="JD18" s="224">
        <v>6367.1606464818015</v>
      </c>
      <c r="JE18" s="224">
        <v>6525.0129622067052</v>
      </c>
      <c r="JF18" s="224">
        <v>6790.9152882575818</v>
      </c>
      <c r="JG18" s="224">
        <v>7227.2282482148412</v>
      </c>
      <c r="JH18" s="224">
        <v>6817.0417417386016</v>
      </c>
      <c r="JI18" s="224">
        <v>7323.7935939762347</v>
      </c>
      <c r="JJ18" s="224"/>
      <c r="JK18" s="224"/>
      <c r="JL18" s="224"/>
      <c r="JM18" s="224"/>
      <c r="JN18" s="224"/>
      <c r="JO18" s="224"/>
      <c r="JP18" s="224"/>
    </row>
    <row r="19" spans="1:276" s="225" customFormat="1" ht="14" customHeight="1">
      <c r="A19" s="217" t="s">
        <v>716</v>
      </c>
      <c r="B19" s="217" t="s">
        <v>717</v>
      </c>
      <c r="C19" s="217">
        <v>11</v>
      </c>
      <c r="D19" s="217" t="s">
        <v>541</v>
      </c>
      <c r="E19" s="218">
        <v>296.24569349975604</v>
      </c>
      <c r="F19" s="218">
        <v>283.53229544281055</v>
      </c>
      <c r="G19" s="218">
        <v>303.33568591175123</v>
      </c>
      <c r="H19" s="218">
        <v>394.17963873350914</v>
      </c>
      <c r="I19" s="218">
        <v>387.0350056889402</v>
      </c>
      <c r="J19" s="218">
        <v>322.36544296928776</v>
      </c>
      <c r="K19" s="218">
        <v>331.34678098085971</v>
      </c>
      <c r="L19" s="218">
        <v>335.8121162252329</v>
      </c>
      <c r="M19" s="218">
        <v>341.32894708098513</v>
      </c>
      <c r="N19" s="218">
        <v>364.13681487365255</v>
      </c>
      <c r="O19" s="218">
        <v>310.36141633347563</v>
      </c>
      <c r="P19" s="218">
        <v>299.19581548895337</v>
      </c>
      <c r="Q19" s="218">
        <v>393.37502672098697</v>
      </c>
      <c r="R19" s="218">
        <v>400.70840878133362</v>
      </c>
      <c r="S19" s="218">
        <v>375.64070329247994</v>
      </c>
      <c r="T19" s="218">
        <v>393.73950090763242</v>
      </c>
      <c r="U19" s="218">
        <v>468.85184658112723</v>
      </c>
      <c r="V19" s="218">
        <v>394.02005965417493</v>
      </c>
      <c r="W19" s="218">
        <v>412.75733196764003</v>
      </c>
      <c r="X19" s="218">
        <v>398.68205882016338</v>
      </c>
      <c r="Y19" s="218">
        <v>362.95954784585444</v>
      </c>
      <c r="Z19" s="218">
        <v>352.14164614550259</v>
      </c>
      <c r="AA19" s="218">
        <v>400.43808583154765</v>
      </c>
      <c r="AB19" s="218">
        <v>405.26144968667467</v>
      </c>
      <c r="AC19" s="218">
        <v>431.92276674175974</v>
      </c>
      <c r="AD19" s="218">
        <v>418.36990809069687</v>
      </c>
      <c r="AE19" s="218">
        <v>398.63586593318757</v>
      </c>
      <c r="AF19" s="218">
        <v>378.73392961954437</v>
      </c>
      <c r="AG19" s="218">
        <v>329.10181672165334</v>
      </c>
      <c r="AH19" s="218">
        <v>359.22705578961109</v>
      </c>
      <c r="AI19" s="218">
        <v>326.96845186864169</v>
      </c>
      <c r="AJ19" s="218">
        <v>363.39049261454221</v>
      </c>
      <c r="AK19" s="218">
        <v>353.30102422590943</v>
      </c>
      <c r="AL19" s="218">
        <v>378.5736603236096</v>
      </c>
      <c r="AM19" s="218">
        <v>366.4732772455194</v>
      </c>
      <c r="AN19" s="218">
        <v>371.13506907174747</v>
      </c>
      <c r="AO19" s="218">
        <v>376.33803988674657</v>
      </c>
      <c r="AP19" s="218">
        <v>382.78621322457127</v>
      </c>
      <c r="AQ19" s="218">
        <v>388.46777507723277</v>
      </c>
      <c r="AR19" s="218">
        <v>366.69546760044193</v>
      </c>
      <c r="AS19" s="218">
        <v>328.88149515649587</v>
      </c>
      <c r="AT19" s="218">
        <v>11508.075208140295</v>
      </c>
      <c r="AU19" s="218">
        <v>9815.3650006045191</v>
      </c>
      <c r="AV19" s="218">
        <v>9428.3991820936444</v>
      </c>
      <c r="AW19" s="218">
        <v>12359.261764603287</v>
      </c>
      <c r="AX19" s="218">
        <v>12602.212538100282</v>
      </c>
      <c r="AY19" s="218">
        <v>11840.666009281729</v>
      </c>
      <c r="AZ19" s="218">
        <v>12717.460945486177</v>
      </c>
      <c r="BA19" s="218">
        <v>15243.961645661619</v>
      </c>
      <c r="BB19" s="218">
        <v>13005.716621160775</v>
      </c>
      <c r="BC19" s="218">
        <v>13530.351977858112</v>
      </c>
      <c r="BD19" s="218">
        <v>13104.143945624806</v>
      </c>
      <c r="BE19" s="218">
        <v>11936.917533259029</v>
      </c>
      <c r="BF19" s="218">
        <v>11633.794069957701</v>
      </c>
      <c r="BG19" s="218">
        <v>13199.108957639461</v>
      </c>
      <c r="BH19" s="218">
        <v>13354.621547030714</v>
      </c>
      <c r="BI19" s="218">
        <v>14412.495452752855</v>
      </c>
      <c r="BJ19" s="218">
        <v>13750.578630946651</v>
      </c>
      <c r="BK19" s="218">
        <v>13026.903967361481</v>
      </c>
      <c r="BL19" s="218">
        <v>12412.160198674259</v>
      </c>
      <c r="BM19" s="218">
        <v>10949.453409636726</v>
      </c>
      <c r="BN19" s="218">
        <v>11868.958308721312</v>
      </c>
      <c r="BO19" s="218">
        <v>10614.186405159791</v>
      </c>
      <c r="BP19" s="218">
        <v>11727.856873210643</v>
      </c>
      <c r="BQ19" s="218">
        <v>11461.006291888425</v>
      </c>
      <c r="BR19" s="218">
        <v>11929.973753652017</v>
      </c>
      <c r="BS19" s="218">
        <v>11949.959542049382</v>
      </c>
      <c r="BT19" s="218">
        <v>12201.748469818718</v>
      </c>
      <c r="BU19" s="218">
        <v>12596.282083997188</v>
      </c>
      <c r="BV19" s="218">
        <v>13052.975495569124</v>
      </c>
      <c r="BW19" s="218">
        <v>11803.653965362821</v>
      </c>
      <c r="BX19" s="218">
        <v>11697.330769814775</v>
      </c>
      <c r="BY19" s="218">
        <v>11354.463797158003</v>
      </c>
      <c r="BZ19" s="218">
        <v>12245.194735054296</v>
      </c>
      <c r="CA19" s="218">
        <v>12911.215698135429</v>
      </c>
      <c r="CB19" s="218">
        <v>13267.985056646254</v>
      </c>
      <c r="CC19" s="218">
        <v>14027.627597781102</v>
      </c>
      <c r="CD19" s="219">
        <v>4776.9582694909759</v>
      </c>
      <c r="CE19" s="219">
        <v>5689.6403005108969</v>
      </c>
      <c r="CF19" s="219">
        <v>5745.2773351762162</v>
      </c>
      <c r="CG19" s="219">
        <v>6501.7257572333629</v>
      </c>
      <c r="CH19" s="219">
        <v>6694.8869290210296</v>
      </c>
      <c r="CI19" s="219">
        <v>5993.8976984512192</v>
      </c>
      <c r="CJ19" s="219">
        <v>6538.443785588931</v>
      </c>
      <c r="CK19" s="219">
        <v>6810.4333152208965</v>
      </c>
      <c r="CL19" s="219">
        <v>7391.5550029374099</v>
      </c>
      <c r="CM19" s="219">
        <v>7101.80512967915</v>
      </c>
      <c r="CN19" s="219">
        <v>8008.8794491921699</v>
      </c>
      <c r="CO19" s="219">
        <v>8194.9428789511967</v>
      </c>
      <c r="CP19" s="219">
        <v>8083.1544608803279</v>
      </c>
      <c r="CQ19" s="219">
        <v>7472.1844321651461</v>
      </c>
      <c r="CR19" s="219">
        <v>6838.9762379063723</v>
      </c>
      <c r="CS19" s="219">
        <v>7005.7876878969637</v>
      </c>
      <c r="CT19" s="219">
        <v>7362.0318592302574</v>
      </c>
      <c r="CU19" s="219">
        <v>7394.0839390182564</v>
      </c>
      <c r="CV19" s="219">
        <v>7794.8977999060744</v>
      </c>
      <c r="CW19" s="219">
        <v>7287.6961342222221</v>
      </c>
      <c r="CX19" s="219">
        <v>7568.5686747067157</v>
      </c>
      <c r="CY19" s="219">
        <v>8071.9147460379272</v>
      </c>
      <c r="CZ19" s="219">
        <v>8179.6897896737246</v>
      </c>
      <c r="DA19" s="219">
        <v>7431.2856913982141</v>
      </c>
      <c r="DB19" s="219">
        <v>7365.9693250845639</v>
      </c>
      <c r="DC19" s="219">
        <v>6903.4339517740882</v>
      </c>
      <c r="DD19" s="219">
        <v>6018.5488117824752</v>
      </c>
      <c r="DE19" s="219">
        <v>6798.1611619922096</v>
      </c>
      <c r="DF19" s="219">
        <v>7264.4264529274096</v>
      </c>
      <c r="DG19" s="219">
        <v>11280.129263555584</v>
      </c>
      <c r="DH19" s="219">
        <v>11821.063261909248</v>
      </c>
      <c r="DI19" s="219">
        <v>11565.238008296044</v>
      </c>
      <c r="DJ19" s="219">
        <v>11650.283912663299</v>
      </c>
      <c r="DK19" s="219">
        <v>12042.885828721131</v>
      </c>
      <c r="DL19" s="219">
        <v>13052.975495569124</v>
      </c>
      <c r="DM19" s="219">
        <v>11803.653965362821</v>
      </c>
      <c r="DN19" s="219">
        <v>11697.330769814775</v>
      </c>
      <c r="DO19" s="219">
        <v>11354.463797158003</v>
      </c>
      <c r="DP19" s="219">
        <v>12245.194735054296</v>
      </c>
      <c r="DQ19" s="219">
        <v>12911.215698135429</v>
      </c>
      <c r="DR19" s="219">
        <v>13267.985056646254</v>
      </c>
      <c r="DS19" s="219">
        <v>14027.627597781102</v>
      </c>
      <c r="DT19" s="220">
        <v>0.78961248950422636</v>
      </c>
      <c r="DU19" s="220">
        <v>0.7996302910882066</v>
      </c>
      <c r="DV19" s="220">
        <v>0.79864769152705795</v>
      </c>
      <c r="DW19" s="220">
        <v>0.77995112295201086</v>
      </c>
      <c r="DX19" s="220">
        <v>0.76703193951884963</v>
      </c>
      <c r="DY19" s="220">
        <v>0.81148529540397418</v>
      </c>
      <c r="DZ19" s="220">
        <v>0.76004825267519727</v>
      </c>
      <c r="EA19" s="220">
        <v>0.7674219862758932</v>
      </c>
      <c r="EB19" s="220">
        <v>0.77503144887046438</v>
      </c>
      <c r="EC19" s="220">
        <v>0.89711310008403744</v>
      </c>
      <c r="ED19" s="220">
        <v>0.89470985421367366</v>
      </c>
      <c r="EE19" s="220">
        <v>0.87109266395617813</v>
      </c>
      <c r="EF19" s="220">
        <v>0.8585064875939552</v>
      </c>
      <c r="EG19" s="221">
        <v>7835</v>
      </c>
      <c r="EH19" s="221">
        <v>8420</v>
      </c>
      <c r="EI19" s="221">
        <v>11098</v>
      </c>
      <c r="EJ19" s="221">
        <v>14251.56</v>
      </c>
      <c r="EK19" s="221">
        <v>16918.96</v>
      </c>
      <c r="EL19" s="221">
        <v>11430.45</v>
      </c>
      <c r="EM19" s="221">
        <v>9833</v>
      </c>
      <c r="EN19" s="221">
        <v>8391</v>
      </c>
      <c r="EO19" s="222">
        <v>0.8</v>
      </c>
      <c r="EP19" s="222">
        <v>0.6</v>
      </c>
      <c r="EQ19" s="222">
        <v>0.6</v>
      </c>
      <c r="ER19" s="222">
        <v>0.8</v>
      </c>
      <c r="ES19" s="222">
        <v>0.8</v>
      </c>
      <c r="ET19" s="222">
        <v>0.8</v>
      </c>
      <c r="EU19" s="222">
        <v>0.8</v>
      </c>
      <c r="EV19" s="222">
        <v>0.9</v>
      </c>
      <c r="EW19" s="222">
        <v>0.8</v>
      </c>
      <c r="EX19" s="222">
        <v>0.8</v>
      </c>
      <c r="EY19" s="222">
        <v>0.8</v>
      </c>
      <c r="EZ19" s="222">
        <v>0.8</v>
      </c>
      <c r="FA19" s="222">
        <v>0.8</v>
      </c>
      <c r="FB19" s="222">
        <v>0.9</v>
      </c>
      <c r="FC19" s="222">
        <v>0.9</v>
      </c>
      <c r="FD19" s="223">
        <v>1.1000000000000001</v>
      </c>
      <c r="FE19" s="223">
        <v>1</v>
      </c>
      <c r="FF19" s="223">
        <v>0.9</v>
      </c>
      <c r="FG19" s="223">
        <v>0.9</v>
      </c>
      <c r="FH19" s="223">
        <v>0.9</v>
      </c>
      <c r="FI19" s="223">
        <v>1</v>
      </c>
      <c r="FJ19" s="223">
        <v>0.8</v>
      </c>
      <c r="FK19" s="223">
        <v>0.9</v>
      </c>
      <c r="FL19" s="223">
        <v>0.8</v>
      </c>
      <c r="FM19" s="223">
        <v>0.8</v>
      </c>
      <c r="FN19" s="223">
        <v>0.8</v>
      </c>
      <c r="FO19" s="223">
        <v>0.8</v>
      </c>
      <c r="FP19" s="223">
        <v>0.8</v>
      </c>
      <c r="FQ19" s="223">
        <v>0.7</v>
      </c>
      <c r="FR19" s="223">
        <v>0.7</v>
      </c>
      <c r="FS19" s="223">
        <v>0.8</v>
      </c>
      <c r="FT19" s="223">
        <v>0.8</v>
      </c>
      <c r="FU19" s="223">
        <v>1</v>
      </c>
      <c r="FV19" s="223">
        <v>0.8</v>
      </c>
      <c r="FW19" s="223">
        <v>0.8</v>
      </c>
      <c r="FX19" s="223">
        <v>0.7</v>
      </c>
      <c r="FY19" s="223">
        <v>0.7</v>
      </c>
      <c r="FZ19" s="223">
        <v>0.6</v>
      </c>
      <c r="GA19" s="223">
        <v>0.5</v>
      </c>
      <c r="GB19" s="223" t="s">
        <v>3468</v>
      </c>
      <c r="GC19" s="223" t="s">
        <v>3468</v>
      </c>
      <c r="GD19" s="223" t="s">
        <v>3468</v>
      </c>
      <c r="GE19" s="223" t="s">
        <v>3468</v>
      </c>
      <c r="GF19" s="223" t="s">
        <v>3468</v>
      </c>
      <c r="GG19" s="223">
        <v>763.83506250000005</v>
      </c>
      <c r="GH19" s="223">
        <v>599.41087500000003</v>
      </c>
      <c r="GI19" s="223">
        <v>613.7349375</v>
      </c>
      <c r="GJ19" s="223">
        <v>864.51743750000003</v>
      </c>
      <c r="GK19" s="223">
        <v>904.30981250000002</v>
      </c>
      <c r="GL19" s="223">
        <v>893.14925000000005</v>
      </c>
      <c r="GM19" s="223">
        <v>882.56218750000005</v>
      </c>
      <c r="GN19" s="223">
        <v>1033.5969843750001</v>
      </c>
      <c r="GO19" s="223">
        <v>890.383375</v>
      </c>
      <c r="GP19" s="223">
        <v>972.37368750000007</v>
      </c>
      <c r="GQ19" s="223">
        <v>1029.2535625</v>
      </c>
      <c r="GR19" s="223">
        <v>1020.76075</v>
      </c>
      <c r="GS19" s="223">
        <v>1021.2959375</v>
      </c>
      <c r="GT19" s="223">
        <v>1255.5248906250001</v>
      </c>
      <c r="GU19" s="223">
        <v>1340.9514843750001</v>
      </c>
      <c r="GV19" s="223">
        <v>1572.4065156250001</v>
      </c>
      <c r="GW19" s="223">
        <v>1628.3535937500001</v>
      </c>
      <c r="GX19" s="223">
        <v>1575.5858437500001</v>
      </c>
      <c r="GY19" s="223">
        <v>1652.4379687500002</v>
      </c>
      <c r="GZ19" s="223">
        <v>1624.5057656250001</v>
      </c>
      <c r="HA19" s="223">
        <v>1945.94703125</v>
      </c>
      <c r="HB19" s="223">
        <v>1871.87375</v>
      </c>
      <c r="HC19" s="223">
        <v>2535.3683437500003</v>
      </c>
      <c r="HD19" s="223">
        <v>2603.0852500000001</v>
      </c>
      <c r="HE19" s="223">
        <v>3035.7615000000001</v>
      </c>
      <c r="HF19" s="223">
        <v>3353.2730000000001</v>
      </c>
      <c r="HG19" s="223">
        <v>4301.5465000000004</v>
      </c>
      <c r="HH19" s="223">
        <v>4481.6580000000004</v>
      </c>
      <c r="HI19" s="223">
        <v>3954.4736874999994</v>
      </c>
      <c r="HJ19" s="223">
        <v>3716.1503749999997</v>
      </c>
      <c r="HK19" s="223">
        <v>4206.5985000000001</v>
      </c>
      <c r="HL19" s="223">
        <v>3928.9392499999999</v>
      </c>
      <c r="HM19" s="223">
        <v>4539.296875</v>
      </c>
      <c r="HN19" s="223">
        <v>3834.0260000000003</v>
      </c>
      <c r="HO19" s="223">
        <v>4138.4714999999997</v>
      </c>
      <c r="HP19" s="223">
        <v>3896.5526249999998</v>
      </c>
      <c r="HQ19" s="223">
        <v>4244.1743749999996</v>
      </c>
      <c r="HR19" s="223">
        <v>3961.9076250000003</v>
      </c>
      <c r="HS19" s="223">
        <v>3465.7240624999999</v>
      </c>
      <c r="HT19" s="223" t="e">
        <v>#VALUE!</v>
      </c>
      <c r="HU19" s="223" t="e">
        <v>#VALUE!</v>
      </c>
      <c r="HV19" s="223" t="e">
        <v>#VALUE!</v>
      </c>
      <c r="HW19" s="223" t="e">
        <v>#VALUE!</v>
      </c>
      <c r="HX19" s="223" t="e">
        <v>#VALUE!</v>
      </c>
      <c r="HY19" s="224">
        <v>4440.1528957326964</v>
      </c>
      <c r="HZ19" s="224">
        <v>3412.4890906513501</v>
      </c>
      <c r="IA19" s="224">
        <v>3423.4235270689978</v>
      </c>
      <c r="IB19" s="224">
        <v>4726.7658447344784</v>
      </c>
      <c r="IC19" s="224">
        <v>4848.2898611097708</v>
      </c>
      <c r="ID19" s="224">
        <v>4697.2131720875441</v>
      </c>
      <c r="IE19" s="224">
        <v>4554.7459301761492</v>
      </c>
      <c r="IF19" s="224">
        <v>5236.3003139205648</v>
      </c>
      <c r="IG19" s="224">
        <v>4429.4639223774693</v>
      </c>
      <c r="IH19" s="224">
        <v>4751.7025888292883</v>
      </c>
      <c r="II19" s="224">
        <v>4942.1567391721883</v>
      </c>
      <c r="IJ19" s="224">
        <v>4793.1305243387751</v>
      </c>
      <c r="IK19" s="224">
        <v>4692.0206044520855</v>
      </c>
      <c r="IL19" s="224">
        <v>5646.1119167385223</v>
      </c>
      <c r="IM19" s="224">
        <v>5905.3738352483779</v>
      </c>
      <c r="IN19" s="224">
        <v>6784.1539819893633</v>
      </c>
      <c r="IO19" s="224">
        <v>6885.8088322106714</v>
      </c>
      <c r="IP19" s="224">
        <v>6532.7424888853029</v>
      </c>
      <c r="IQ19" s="224">
        <v>6720.3369003902553</v>
      </c>
      <c r="IR19" s="224">
        <v>6482.7380626957756</v>
      </c>
      <c r="IS19" s="224">
        <v>7622.4145953940797</v>
      </c>
      <c r="IT19" s="224">
        <v>7199.6251865413315</v>
      </c>
      <c r="IU19" s="224">
        <v>9581.8873226049454</v>
      </c>
      <c r="IV19" s="224">
        <v>9669.5566042431728</v>
      </c>
      <c r="IW19" s="224">
        <v>11087.178511389173</v>
      </c>
      <c r="IX19" s="224">
        <v>12044.265988152825</v>
      </c>
      <c r="IY19" s="224">
        <v>15198.924797670807</v>
      </c>
      <c r="IZ19" s="224">
        <v>15581.839409277361</v>
      </c>
      <c r="JA19" s="224">
        <v>13532.304721332588</v>
      </c>
      <c r="JB19" s="224">
        <v>12519.507456823596</v>
      </c>
      <c r="JC19" s="224">
        <v>13955.339646070484</v>
      </c>
      <c r="JD19" s="224">
        <v>12838.118430124463</v>
      </c>
      <c r="JE19" s="224">
        <v>14644.195061341583</v>
      </c>
      <c r="JF19" s="224">
        <v>12213.856746321349</v>
      </c>
      <c r="JG19" s="224">
        <v>13020.476157231298</v>
      </c>
      <c r="JH19" s="224">
        <v>12109.414502099859</v>
      </c>
      <c r="JI19" s="224">
        <v>13030.362552178409</v>
      </c>
      <c r="JJ19" s="224">
        <v>12018.539636335752</v>
      </c>
      <c r="JK19" s="224">
        <v>10389.324818784627</v>
      </c>
      <c r="JL19" s="224"/>
      <c r="JM19" s="224"/>
      <c r="JN19" s="224"/>
      <c r="JO19" s="224"/>
      <c r="JP19" s="224"/>
    </row>
    <row r="20" spans="1:276" s="225" customFormat="1" ht="14" customHeight="1">
      <c r="A20" s="217" t="s">
        <v>718</v>
      </c>
      <c r="B20" s="217" t="s">
        <v>719</v>
      </c>
      <c r="C20" s="217">
        <v>12</v>
      </c>
      <c r="D20" s="217" t="s">
        <v>664</v>
      </c>
      <c r="E20" s="218">
        <v>118.60417722961017</v>
      </c>
      <c r="F20" s="218">
        <v>117.73956287100974</v>
      </c>
      <c r="G20" s="218">
        <v>117.36857268859266</v>
      </c>
      <c r="H20" s="218">
        <v>110.35337280842525</v>
      </c>
      <c r="I20" s="218">
        <v>114.33128257336492</v>
      </c>
      <c r="J20" s="218">
        <v>119.09308035328525</v>
      </c>
      <c r="K20" s="218">
        <v>129.2673853900296</v>
      </c>
      <c r="L20" s="218">
        <v>117.76427566648218</v>
      </c>
      <c r="M20" s="218">
        <v>126.39612437843842</v>
      </c>
      <c r="N20" s="218">
        <v>129.20554480568489</v>
      </c>
      <c r="O20" s="218">
        <v>142.19406648644861</v>
      </c>
      <c r="P20" s="218">
        <v>140.50771770445232</v>
      </c>
      <c r="Q20" s="218">
        <v>145.7360865792453</v>
      </c>
      <c r="R20" s="218">
        <v>169.51606579553942</v>
      </c>
      <c r="S20" s="218">
        <v>186.22760526342694</v>
      </c>
      <c r="T20" s="218">
        <v>203.37424055862309</v>
      </c>
      <c r="U20" s="218">
        <v>186.37923169949573</v>
      </c>
      <c r="V20" s="218">
        <v>169.9549262337685</v>
      </c>
      <c r="W20" s="218">
        <v>163.22792060122947</v>
      </c>
      <c r="X20" s="218">
        <v>165.56313883758202</v>
      </c>
      <c r="Y20" s="218">
        <v>166.62439721719267</v>
      </c>
      <c r="Z20" s="218">
        <v>179.97095144771552</v>
      </c>
      <c r="AA20" s="218">
        <v>198.14889995103118</v>
      </c>
      <c r="AB20" s="218">
        <v>251.48209088788843</v>
      </c>
      <c r="AC20" s="218">
        <v>328.71738926452758</v>
      </c>
      <c r="AD20" s="218">
        <v>331.04279764563881</v>
      </c>
      <c r="AE20" s="218">
        <v>315.77831986596175</v>
      </c>
      <c r="AF20" s="218">
        <v>349.74209792852702</v>
      </c>
      <c r="AG20" s="218">
        <v>314.45309224265077</v>
      </c>
      <c r="AH20" s="218">
        <v>274.77553715234012</v>
      </c>
      <c r="AI20" s="218">
        <v>311.37147390864948</v>
      </c>
      <c r="AJ20" s="218">
        <v>351.03993974435519</v>
      </c>
      <c r="AK20" s="218">
        <v>362.95946193761057</v>
      </c>
      <c r="AL20" s="218">
        <v>376.3261132777713</v>
      </c>
      <c r="AM20" s="218">
        <v>349.35420931664947</v>
      </c>
      <c r="AN20" s="218">
        <v>346.86205764697741</v>
      </c>
      <c r="AO20" s="218">
        <v>358.77100832861606</v>
      </c>
      <c r="AP20" s="218">
        <v>355.97070395769748</v>
      </c>
      <c r="AQ20" s="218">
        <v>339.18263310607637</v>
      </c>
      <c r="AR20" s="218">
        <v>312.6085903797786</v>
      </c>
      <c r="AS20" s="218">
        <v>282.24949637745033</v>
      </c>
      <c r="AT20" s="218">
        <v>4083.3748915184151</v>
      </c>
      <c r="AU20" s="218">
        <v>4497.3294193051224</v>
      </c>
      <c r="AV20" s="218">
        <v>4428.3580487834106</v>
      </c>
      <c r="AW20" s="218">
        <v>4579.627853082563</v>
      </c>
      <c r="AX20" s="218">
        <v>5332.3162542508762</v>
      </c>
      <c r="AY20" s="218">
        <v>5871.3253447059296</v>
      </c>
      <c r="AZ20" s="218">
        <v>6570.0829845060989</v>
      </c>
      <c r="BA20" s="218">
        <v>6060.8209820506017</v>
      </c>
      <c r="BB20" s="218">
        <v>5610.5234692719287</v>
      </c>
      <c r="BC20" s="218">
        <v>5351.0425853178576</v>
      </c>
      <c r="BD20" s="218">
        <v>5441.8380647416607</v>
      </c>
      <c r="BE20" s="218">
        <v>5470.2769023304027</v>
      </c>
      <c r="BF20" s="218">
        <v>5927.4494131100237</v>
      </c>
      <c r="BG20" s="218">
        <v>6505.2036409323364</v>
      </c>
      <c r="BH20" s="218">
        <v>8249.4105623514097</v>
      </c>
      <c r="BI20" s="218">
        <v>10916.526163738421</v>
      </c>
      <c r="BJ20" s="218">
        <v>10829.828670997937</v>
      </c>
      <c r="BK20" s="218">
        <v>10275.474275295239</v>
      </c>
      <c r="BL20" s="218">
        <v>11421.273939273819</v>
      </c>
      <c r="BM20" s="218">
        <v>10434.781451887677</v>
      </c>
      <c r="BN20" s="218">
        <v>9065.7693520915127</v>
      </c>
      <c r="BO20" s="218">
        <v>10107.870794346563</v>
      </c>
      <c r="BP20" s="218">
        <v>11307.430916367692</v>
      </c>
      <c r="BQ20" s="218">
        <v>11737.746583664908</v>
      </c>
      <c r="BR20" s="218">
        <v>11816.50577714459</v>
      </c>
      <c r="BS20" s="218">
        <v>11352.503635095294</v>
      </c>
      <c r="BT20" s="218">
        <v>11453.964609936455</v>
      </c>
      <c r="BU20" s="218">
        <v>11778.684225035653</v>
      </c>
      <c r="BV20" s="218">
        <v>8169.1455662079852</v>
      </c>
      <c r="BW20" s="218">
        <v>8175.5081496080211</v>
      </c>
      <c r="BX20" s="218">
        <v>7723.0079293074887</v>
      </c>
      <c r="BY20" s="218">
        <v>7410.7296089152142</v>
      </c>
      <c r="BZ20" s="218">
        <v>6115.0295186768035</v>
      </c>
      <c r="CA20" s="218">
        <v>6218.5847972959655</v>
      </c>
      <c r="CB20" s="218">
        <v>6426.4206414410746</v>
      </c>
      <c r="CC20" s="218">
        <v>6903.7583578422837</v>
      </c>
      <c r="CD20" s="219">
        <v>3665.9878828722744</v>
      </c>
      <c r="CE20" s="219">
        <v>4100.8893010057018</v>
      </c>
      <c r="CF20" s="219">
        <v>3893.9865985755846</v>
      </c>
      <c r="CG20" s="219">
        <v>4038.9266906287949</v>
      </c>
      <c r="CH20" s="219">
        <v>4656.7601264339264</v>
      </c>
      <c r="CI20" s="219">
        <v>3894.0491748609061</v>
      </c>
      <c r="CJ20" s="219">
        <v>3880.3392843179554</v>
      </c>
      <c r="CK20" s="219">
        <v>3906.9716989187623</v>
      </c>
      <c r="CL20" s="219">
        <v>4001.1763592887246</v>
      </c>
      <c r="CM20" s="219">
        <v>3913.3763064579098</v>
      </c>
      <c r="CN20" s="219">
        <v>4155.260195097223</v>
      </c>
      <c r="CO20" s="219">
        <v>4458.4249198323705</v>
      </c>
      <c r="CP20" s="219">
        <v>4687.5716342437754</v>
      </c>
      <c r="CQ20" s="219">
        <v>4390.3922154146103</v>
      </c>
      <c r="CR20" s="219">
        <v>4399.8308455945671</v>
      </c>
      <c r="CS20" s="219">
        <v>4929.9611285110268</v>
      </c>
      <c r="CT20" s="219">
        <v>5158.4337411715833</v>
      </c>
      <c r="CU20" s="219">
        <v>5450.1949747352037</v>
      </c>
      <c r="CV20" s="219">
        <v>5222.9333201240343</v>
      </c>
      <c r="CW20" s="219">
        <v>5381.6612705567577</v>
      </c>
      <c r="CX20" s="219">
        <v>6089.8046020782513</v>
      </c>
      <c r="CY20" s="219">
        <v>6582.200824706385</v>
      </c>
      <c r="CZ20" s="219">
        <v>7067.5492411302948</v>
      </c>
      <c r="DA20" s="219">
        <v>7082.1788289816004</v>
      </c>
      <c r="DB20" s="219">
        <v>6967.8376540684703</v>
      </c>
      <c r="DC20" s="219">
        <v>6961.5479059656318</v>
      </c>
      <c r="DD20" s="219">
        <v>5914.1714744371975</v>
      </c>
      <c r="DE20" s="219">
        <v>6849.9223266253039</v>
      </c>
      <c r="DF20" s="219">
        <v>7531.3545365021428</v>
      </c>
      <c r="DG20" s="219">
        <v>8049.1157016463167</v>
      </c>
      <c r="DH20" s="219">
        <v>8090.920405823741</v>
      </c>
      <c r="DI20" s="219">
        <v>7714.6030266787766</v>
      </c>
      <c r="DJ20" s="219">
        <v>7827.8802426442762</v>
      </c>
      <c r="DK20" s="219">
        <v>7868.1875129294267</v>
      </c>
      <c r="DL20" s="219">
        <v>8169.1455662079852</v>
      </c>
      <c r="DM20" s="219">
        <v>8175.5081496080211</v>
      </c>
      <c r="DN20" s="219">
        <v>7723.0079293074887</v>
      </c>
      <c r="DO20" s="219">
        <v>7410.7296089152142</v>
      </c>
      <c r="DP20" s="219">
        <v>6115.0295186768035</v>
      </c>
      <c r="DQ20" s="219">
        <v>6218.5847972959655</v>
      </c>
      <c r="DR20" s="219">
        <v>6426.4206414410746</v>
      </c>
      <c r="DS20" s="219">
        <v>6903.7583578422837</v>
      </c>
      <c r="DT20" s="220">
        <v>0.49290358597094641</v>
      </c>
      <c r="DU20" s="220">
        <v>0.48550373796686908</v>
      </c>
      <c r="DV20" s="220">
        <v>0.47890043051395997</v>
      </c>
      <c r="DW20" s="220">
        <v>0.47710652341342835</v>
      </c>
      <c r="DX20" s="220">
        <v>0.46181185118468177</v>
      </c>
      <c r="DY20" s="220">
        <v>0.47347417598358543</v>
      </c>
      <c r="DZ20" s="220">
        <v>0.4962693392914993</v>
      </c>
      <c r="EA20" s="220">
        <v>0.48277320184061157</v>
      </c>
      <c r="EB20" s="220">
        <v>0.48693169823611449</v>
      </c>
      <c r="EC20" s="220">
        <v>0.43553626873244677</v>
      </c>
      <c r="ED20" s="220">
        <v>0.42295369855248277</v>
      </c>
      <c r="EE20" s="220">
        <v>0.41794233835896072</v>
      </c>
      <c r="EF20" s="220">
        <v>0.42228078450268813</v>
      </c>
      <c r="EG20" s="221">
        <v>2420</v>
      </c>
      <c r="EH20" s="221">
        <v>3137</v>
      </c>
      <c r="EI20" s="221">
        <v>3641</v>
      </c>
      <c r="EJ20" s="221">
        <v>4205.8100000000004</v>
      </c>
      <c r="EK20" s="221">
        <v>5417.68</v>
      </c>
      <c r="EL20" s="221">
        <v>10966.57</v>
      </c>
      <c r="EM20" s="221">
        <v>8169</v>
      </c>
      <c r="EN20" s="221">
        <v>5835</v>
      </c>
      <c r="EO20" s="222">
        <v>0.2</v>
      </c>
      <c r="EP20" s="222">
        <v>0.2</v>
      </c>
      <c r="EQ20" s="222">
        <v>0.2</v>
      </c>
      <c r="ER20" s="222">
        <v>0.2</v>
      </c>
      <c r="ES20" s="222">
        <v>0.3</v>
      </c>
      <c r="ET20" s="222">
        <v>0.3</v>
      </c>
      <c r="EU20" s="222">
        <v>0.3</v>
      </c>
      <c r="EV20" s="222">
        <v>0.3</v>
      </c>
      <c r="EW20" s="222">
        <v>0.3</v>
      </c>
      <c r="EX20" s="222">
        <v>0.3</v>
      </c>
      <c r="EY20" s="222">
        <v>0.3</v>
      </c>
      <c r="EZ20" s="222">
        <v>0.3</v>
      </c>
      <c r="FA20" s="222">
        <v>0.3</v>
      </c>
      <c r="FB20" s="222">
        <v>0.4</v>
      </c>
      <c r="FC20" s="222">
        <v>0.5</v>
      </c>
      <c r="FD20" s="223">
        <v>0.7</v>
      </c>
      <c r="FE20" s="223">
        <v>0.6</v>
      </c>
      <c r="FF20" s="223">
        <v>0.6</v>
      </c>
      <c r="FG20" s="223">
        <v>0.7</v>
      </c>
      <c r="FH20" s="223">
        <v>0.7</v>
      </c>
      <c r="FI20" s="223">
        <v>0.6</v>
      </c>
      <c r="FJ20" s="223">
        <v>0.7</v>
      </c>
      <c r="FK20" s="223">
        <v>0.7</v>
      </c>
      <c r="FL20" s="223">
        <v>0.7</v>
      </c>
      <c r="FM20" s="223">
        <v>0.7</v>
      </c>
      <c r="FN20" s="223">
        <v>0.7</v>
      </c>
      <c r="FO20" s="223">
        <v>0.7</v>
      </c>
      <c r="FP20" s="223">
        <v>0.7</v>
      </c>
      <c r="FQ20" s="223">
        <v>0.5</v>
      </c>
      <c r="FR20" s="223">
        <v>0.5</v>
      </c>
      <c r="FS20" s="223">
        <v>0.6</v>
      </c>
      <c r="FT20" s="223">
        <v>0.6</v>
      </c>
      <c r="FU20" s="223">
        <v>0.6</v>
      </c>
      <c r="FV20" s="223">
        <v>0.6</v>
      </c>
      <c r="FW20" s="223">
        <v>0.6</v>
      </c>
      <c r="FX20" s="223">
        <v>0.7</v>
      </c>
      <c r="FY20" s="223">
        <v>0.7</v>
      </c>
      <c r="FZ20" s="223">
        <v>0.6</v>
      </c>
      <c r="GA20" s="223">
        <v>0.6</v>
      </c>
      <c r="GB20" s="223">
        <v>0.6</v>
      </c>
      <c r="GC20" s="223">
        <v>0.6</v>
      </c>
      <c r="GD20" s="223">
        <v>0.7</v>
      </c>
      <c r="GE20" s="223" t="s">
        <v>3468</v>
      </c>
      <c r="GF20" s="223" t="s">
        <v>3468</v>
      </c>
      <c r="GG20" s="223">
        <v>190.95876562500001</v>
      </c>
      <c r="GH20" s="223">
        <v>199.80362500000001</v>
      </c>
      <c r="GI20" s="223">
        <v>204.57831250000001</v>
      </c>
      <c r="GJ20" s="223">
        <v>216.12935937500001</v>
      </c>
      <c r="GK20" s="223">
        <v>339.11617968749999</v>
      </c>
      <c r="GL20" s="223">
        <v>334.93096875000003</v>
      </c>
      <c r="GM20" s="223">
        <v>330.9608203125</v>
      </c>
      <c r="GN20" s="223">
        <v>344.53232812499999</v>
      </c>
      <c r="GO20" s="223">
        <v>333.89376562500001</v>
      </c>
      <c r="GP20" s="223">
        <v>364.64013281249998</v>
      </c>
      <c r="GQ20" s="223">
        <v>385.97008593750002</v>
      </c>
      <c r="GR20" s="223">
        <v>382.78528125000003</v>
      </c>
      <c r="GS20" s="223">
        <v>382.98597656250001</v>
      </c>
      <c r="GT20" s="223">
        <v>558.01106249999998</v>
      </c>
      <c r="GU20" s="223">
        <v>744.97304687500002</v>
      </c>
      <c r="GV20" s="223">
        <v>1000.6223281249999</v>
      </c>
      <c r="GW20" s="223">
        <v>977.01215624999998</v>
      </c>
      <c r="GX20" s="223">
        <v>1050.3905625</v>
      </c>
      <c r="GY20" s="223">
        <v>1285.2295312499998</v>
      </c>
      <c r="GZ20" s="223">
        <v>1263.5044843749999</v>
      </c>
      <c r="HA20" s="223">
        <v>1167.5682187499999</v>
      </c>
      <c r="HB20" s="223">
        <v>1637.8895312499999</v>
      </c>
      <c r="HC20" s="223">
        <v>1971.9531562499999</v>
      </c>
      <c r="HD20" s="223">
        <v>2277.6995937499996</v>
      </c>
      <c r="HE20" s="223">
        <v>2656.2913124999995</v>
      </c>
      <c r="HF20" s="223">
        <v>2934.1138749999996</v>
      </c>
      <c r="HG20" s="223">
        <v>3763.8531874999994</v>
      </c>
      <c r="HH20" s="223">
        <v>3921.4507499999995</v>
      </c>
      <c r="HI20" s="223">
        <v>2824.6240625</v>
      </c>
      <c r="HJ20" s="223">
        <v>2654.3931250000001</v>
      </c>
      <c r="HK20" s="223">
        <v>3154.948875</v>
      </c>
      <c r="HL20" s="223">
        <v>2946.7044375</v>
      </c>
      <c r="HM20" s="223">
        <v>2723.578125</v>
      </c>
      <c r="HN20" s="223">
        <v>2875.5194999999999</v>
      </c>
      <c r="HO20" s="223">
        <v>3103.8536250000002</v>
      </c>
      <c r="HP20" s="223">
        <v>3896.5526249999998</v>
      </c>
      <c r="HQ20" s="223">
        <v>4244.1743749999996</v>
      </c>
      <c r="HR20" s="223">
        <v>3961.9076250000003</v>
      </c>
      <c r="HS20" s="223">
        <v>4158.8688750000001</v>
      </c>
      <c r="HT20" s="223">
        <v>4155.7916249999998</v>
      </c>
      <c r="HU20" s="223">
        <v>4576.1017499999998</v>
      </c>
      <c r="HV20" s="223">
        <v>5897.2948124999994</v>
      </c>
      <c r="HW20" s="223" t="e">
        <v>#VALUE!</v>
      </c>
      <c r="HX20" s="223" t="e">
        <v>#VALUE!</v>
      </c>
      <c r="HY20" s="224">
        <v>1401.6659617064381</v>
      </c>
      <c r="HZ20" s="224">
        <v>1437.0742978386738</v>
      </c>
      <c r="IA20" s="224">
        <v>1442.3886718887707</v>
      </c>
      <c r="IB20" s="224">
        <v>1494.3501695694561</v>
      </c>
      <c r="IC20" s="224">
        <v>2300.1999585393646</v>
      </c>
      <c r="ID20" s="224">
        <v>2229.499149620242</v>
      </c>
      <c r="IE20" s="224">
        <v>2162.7892194902793</v>
      </c>
      <c r="IF20" s="224">
        <v>2211.0492554051712</v>
      </c>
      <c r="IG20" s="224">
        <v>2104.9783170261189</v>
      </c>
      <c r="IH20" s="224">
        <v>2258.9666198681693</v>
      </c>
      <c r="II20" s="224">
        <v>2350.3661980032516</v>
      </c>
      <c r="IJ20" s="224">
        <v>2260.2611342660316</v>
      </c>
      <c r="IK20" s="224">
        <v>2194.8637994878959</v>
      </c>
      <c r="IL20" s="224">
        <v>3106.4580005184011</v>
      </c>
      <c r="IM20" s="224">
        <v>4031.9633518344904</v>
      </c>
      <c r="IN20" s="224">
        <v>5269.0880943593311</v>
      </c>
      <c r="IO20" s="224">
        <v>5009.2467711909649</v>
      </c>
      <c r="IP20" s="224">
        <v>5247.2517996127272</v>
      </c>
      <c r="IQ20" s="224">
        <v>6259.7436391419596</v>
      </c>
      <c r="IR20" s="224">
        <v>6003.7060072104086</v>
      </c>
      <c r="IS20" s="224">
        <v>5415.6492624594985</v>
      </c>
      <c r="IT20" s="224">
        <v>7420.3640267024266</v>
      </c>
      <c r="IU20" s="224">
        <v>8644.5268422879963</v>
      </c>
      <c r="IV20" s="224">
        <v>9671.6537046724734</v>
      </c>
      <c r="IW20" s="224">
        <v>10936.217523284258</v>
      </c>
      <c r="IX20" s="224">
        <v>11723.503373472984</v>
      </c>
      <c r="IY20" s="224">
        <v>14607.658792686569</v>
      </c>
      <c r="IZ20" s="224">
        <v>14795.146987471788</v>
      </c>
      <c r="JA20" s="224">
        <v>10368.005115685632</v>
      </c>
      <c r="JB20" s="224">
        <v>9485.9583758899353</v>
      </c>
      <c r="JC20" s="224">
        <v>10984.807903758292</v>
      </c>
      <c r="JD20" s="224">
        <v>10002.493024368883</v>
      </c>
      <c r="JE20" s="224">
        <v>9038.0031739454935</v>
      </c>
      <c r="JF20" s="224">
        <v>9333.1426362296097</v>
      </c>
      <c r="JG20" s="224">
        <v>9858.2605733560322</v>
      </c>
      <c r="JH20" s="224">
        <v>12116.209138896958</v>
      </c>
      <c r="JI20" s="224">
        <v>12925.815642865249</v>
      </c>
      <c r="JJ20" s="224">
        <v>11823.095935827921</v>
      </c>
      <c r="JK20" s="224">
        <v>12165.795015599415</v>
      </c>
      <c r="JL20" s="224">
        <v>11921.387145891447</v>
      </c>
      <c r="JM20" s="224">
        <v>12877.731110173068</v>
      </c>
      <c r="JN20" s="224">
        <v>16268.309726567024</v>
      </c>
      <c r="JO20" s="224"/>
      <c r="JP20" s="224"/>
    </row>
    <row r="21" spans="1:276" s="225" customFormat="1" ht="14" customHeight="1">
      <c r="A21" s="217" t="s">
        <v>711</v>
      </c>
      <c r="B21" s="217" t="s">
        <v>712</v>
      </c>
      <c r="C21" s="217">
        <v>13</v>
      </c>
      <c r="D21" s="217" t="s">
        <v>713</v>
      </c>
      <c r="E21" s="218">
        <v>254.94621600349825</v>
      </c>
      <c r="F21" s="218">
        <v>257.59176531565862</v>
      </c>
      <c r="G21" s="218">
        <v>246.19676034464891</v>
      </c>
      <c r="H21" s="218">
        <v>255.08589596325157</v>
      </c>
      <c r="I21" s="218">
        <v>277.9469284158256</v>
      </c>
      <c r="J21" s="218">
        <v>297.350931455894</v>
      </c>
      <c r="K21" s="218">
        <v>293.66105111321639</v>
      </c>
      <c r="L21" s="218">
        <v>315.59113412765544</v>
      </c>
      <c r="M21" s="218">
        <v>293.07708358667901</v>
      </c>
      <c r="N21" s="218">
        <v>330.28394102723308</v>
      </c>
      <c r="O21" s="218">
        <v>338.49008775363319</v>
      </c>
      <c r="P21" s="218">
        <v>345.46301959598543</v>
      </c>
      <c r="Q21" s="218">
        <v>348.26507540161981</v>
      </c>
      <c r="R21" s="218">
        <v>352.00623171248048</v>
      </c>
      <c r="S21" s="218">
        <v>357.33819327077344</v>
      </c>
      <c r="T21" s="218">
        <v>353.73610665059607</v>
      </c>
      <c r="U21" s="218">
        <v>352.46737895379471</v>
      </c>
      <c r="V21" s="218">
        <v>341.58919320107526</v>
      </c>
      <c r="W21" s="218">
        <v>345.88081541081647</v>
      </c>
      <c r="X21" s="218">
        <v>344.53960517640166</v>
      </c>
      <c r="Y21" s="218">
        <v>268.95250522182522</v>
      </c>
      <c r="Z21" s="218">
        <v>268.58106574173115</v>
      </c>
      <c r="AA21" s="218">
        <v>307.40086936662107</v>
      </c>
      <c r="AB21" s="218">
        <v>288.27744290733847</v>
      </c>
      <c r="AC21" s="218">
        <v>257.30663278040345</v>
      </c>
      <c r="AD21" s="218">
        <v>289.281668854565</v>
      </c>
      <c r="AE21" s="218">
        <v>268.88067577178759</v>
      </c>
      <c r="AF21" s="218">
        <v>253.15033449680561</v>
      </c>
      <c r="AG21" s="218">
        <v>215.67807912661107</v>
      </c>
      <c r="AH21" s="218">
        <v>207.22738362209506</v>
      </c>
      <c r="AI21" s="218">
        <v>195.75305435429286</v>
      </c>
      <c r="AJ21" s="218">
        <v>188.91682820686793</v>
      </c>
      <c r="AK21" s="218">
        <v>200.35439753908901</v>
      </c>
      <c r="AL21" s="218">
        <v>212.3529735707499</v>
      </c>
      <c r="AM21" s="218">
        <v>200.77542908843373</v>
      </c>
      <c r="AN21" s="218">
        <v>202.90551130992395</v>
      </c>
      <c r="AO21" s="218">
        <v>208.11794847935064</v>
      </c>
      <c r="AP21" s="218">
        <v>213.08574945656807</v>
      </c>
      <c r="AQ21" s="218">
        <v>205.41253860817321</v>
      </c>
      <c r="AR21" s="218">
        <v>193.91417648171668</v>
      </c>
      <c r="AS21" s="218">
        <v>178.06705055629081</v>
      </c>
      <c r="AT21" s="218">
        <v>10438.198715779981</v>
      </c>
      <c r="AU21" s="218">
        <v>10701.770214626253</v>
      </c>
      <c r="AV21" s="218">
        <v>10880.764294036097</v>
      </c>
      <c r="AW21" s="218">
        <v>10934.702127571501</v>
      </c>
      <c r="AX21" s="218">
        <v>11062.299478072577</v>
      </c>
      <c r="AY21" s="218">
        <v>11255.190365054234</v>
      </c>
      <c r="AZ21" s="218">
        <v>11417.212960646042</v>
      </c>
      <c r="BA21" s="218">
        <v>11452.873219997969</v>
      </c>
      <c r="BB21" s="218">
        <v>11269.916149188211</v>
      </c>
      <c r="BC21" s="218">
        <v>11335.238799071425</v>
      </c>
      <c r="BD21" s="218">
        <v>11324.554193788977</v>
      </c>
      <c r="BE21" s="218">
        <v>8853.8003403250914</v>
      </c>
      <c r="BF21" s="218">
        <v>8888.3557807562647</v>
      </c>
      <c r="BG21" s="218">
        <v>10155.127306270617</v>
      </c>
      <c r="BH21" s="218">
        <v>9523.9960715448306</v>
      </c>
      <c r="BI21" s="218">
        <v>8609.0355001495409</v>
      </c>
      <c r="BJ21" s="218">
        <v>9533.0384160519297</v>
      </c>
      <c r="BK21" s="218">
        <v>8808.0380174536931</v>
      </c>
      <c r="BL21" s="218">
        <v>8313.4329948658524</v>
      </c>
      <c r="BM21" s="218">
        <v>7186.6020985593368</v>
      </c>
      <c r="BN21" s="218">
        <v>6852.4976962195833</v>
      </c>
      <c r="BO21" s="218">
        <v>6354.617384097266</v>
      </c>
      <c r="BP21" s="218">
        <v>6103.9386464944419</v>
      </c>
      <c r="BQ21" s="218">
        <v>6513.4849974913996</v>
      </c>
      <c r="BR21" s="218">
        <v>6712.3809482816896</v>
      </c>
      <c r="BS21" s="218">
        <v>6572.1691953395975</v>
      </c>
      <c r="BT21" s="218">
        <v>6824.3658302203457</v>
      </c>
      <c r="BU21" s="218">
        <v>7223.117663954713</v>
      </c>
      <c r="BV21" s="218">
        <v>10666.849589862317</v>
      </c>
      <c r="BW21" s="218">
        <v>10875.517176247844</v>
      </c>
      <c r="BX21" s="218">
        <v>10620.643935539627</v>
      </c>
      <c r="BY21" s="218">
        <v>10431.661953982448</v>
      </c>
      <c r="BZ21" s="218">
        <v>9621.6272938676484</v>
      </c>
      <c r="CA21" s="218">
        <v>12148.816680831178</v>
      </c>
      <c r="CB21" s="218">
        <v>12254.720150160232</v>
      </c>
      <c r="CC21" s="218">
        <v>12334.94320090884</v>
      </c>
      <c r="CD21" s="219">
        <v>6693.6297725938848</v>
      </c>
      <c r="CE21" s="219">
        <v>6584.6722996787666</v>
      </c>
      <c r="CF21" s="219">
        <v>6080.6631445757321</v>
      </c>
      <c r="CG21" s="219">
        <v>6327.7555527855266</v>
      </c>
      <c r="CH21" s="219">
        <v>6411.3560614909156</v>
      </c>
      <c r="CI21" s="219">
        <v>5924.9925714288192</v>
      </c>
      <c r="CJ21" s="219">
        <v>5501.2827750083206</v>
      </c>
      <c r="CK21" s="219">
        <v>5533.4036136543746</v>
      </c>
      <c r="CL21" s="219">
        <v>5640.7689390939213</v>
      </c>
      <c r="CM21" s="219">
        <v>5166.2867040645569</v>
      </c>
      <c r="CN21" s="219">
        <v>5610.8330624171704</v>
      </c>
      <c r="CO21" s="219">
        <v>5487.2170041527079</v>
      </c>
      <c r="CP21" s="219">
        <v>5481.9449825962956</v>
      </c>
      <c r="CQ21" s="219">
        <v>5047.3851812218245</v>
      </c>
      <c r="CR21" s="219">
        <v>4980.7159469987646</v>
      </c>
      <c r="CS21" s="219">
        <v>5649.2558757483521</v>
      </c>
      <c r="CT21" s="219">
        <v>6286.455739252342</v>
      </c>
      <c r="CU21" s="219">
        <v>6379.4353044215641</v>
      </c>
      <c r="CV21" s="219">
        <v>6607.3559510993791</v>
      </c>
      <c r="CW21" s="219">
        <v>6130.0894779207547</v>
      </c>
      <c r="CX21" s="219">
        <v>6320.9299473392502</v>
      </c>
      <c r="CY21" s="219">
        <v>6629.2047987107007</v>
      </c>
      <c r="CZ21" s="219">
        <v>6659.7739870345686</v>
      </c>
      <c r="DA21" s="219">
        <v>5849.1615992408051</v>
      </c>
      <c r="DB21" s="219">
        <v>5844.994640502754</v>
      </c>
      <c r="DC21" s="219">
        <v>5568.0803885646965</v>
      </c>
      <c r="DD21" s="219">
        <v>4887.925042691807</v>
      </c>
      <c r="DE21" s="219">
        <v>5313.6092338256676</v>
      </c>
      <c r="DF21" s="219">
        <v>5943.752905424135</v>
      </c>
      <c r="DG21" s="219">
        <v>9590.9033590448416</v>
      </c>
      <c r="DH21" s="219">
        <v>9831.807915013329</v>
      </c>
      <c r="DI21" s="219">
        <v>9553.8536999138814</v>
      </c>
      <c r="DJ21" s="219">
        <v>9761.8394603311244</v>
      </c>
      <c r="DK21" s="219">
        <v>10336.682282309115</v>
      </c>
      <c r="DL21" s="219">
        <v>10666.849589862317</v>
      </c>
      <c r="DM21" s="219">
        <v>10875.517176247844</v>
      </c>
      <c r="DN21" s="219">
        <v>10620.643935539627</v>
      </c>
      <c r="DO21" s="219">
        <v>10431.661953982448</v>
      </c>
      <c r="DP21" s="219">
        <v>9621.6272938676484</v>
      </c>
      <c r="DQ21" s="219">
        <v>12148.816680831178</v>
      </c>
      <c r="DR21" s="219">
        <v>12254.720150160232</v>
      </c>
      <c r="DS21" s="219">
        <v>12334.94320090884</v>
      </c>
      <c r="DT21" s="220">
        <v>3.6191099190294134</v>
      </c>
      <c r="DU21" s="220">
        <v>3.5718849852724999</v>
      </c>
      <c r="DV21" s="220">
        <v>3.5305898944758858</v>
      </c>
      <c r="DW21" s="220">
        <v>3.4850794867959611</v>
      </c>
      <c r="DX21" s="220">
        <v>3.4989669984868881</v>
      </c>
      <c r="DY21" s="220">
        <v>3.5127757370213968</v>
      </c>
      <c r="DZ21" s="220">
        <v>3.6976430017452397</v>
      </c>
      <c r="EA21" s="220">
        <v>3.6677032669695548</v>
      </c>
      <c r="EB21" s="220">
        <v>3.736666129471522</v>
      </c>
      <c r="EC21" s="220">
        <v>3.6925797671131599</v>
      </c>
      <c r="ED21" s="220">
        <v>4.4023932040586065</v>
      </c>
      <c r="EE21" s="220">
        <v>4.2001036975367594</v>
      </c>
      <c r="EF21" s="220">
        <v>3.9343059484682712</v>
      </c>
      <c r="EG21" s="221">
        <v>5473</v>
      </c>
      <c r="EH21" s="221">
        <v>8173</v>
      </c>
      <c r="EI21" s="221">
        <v>8323</v>
      </c>
      <c r="EJ21" s="221">
        <v>6537.62</v>
      </c>
      <c r="EK21" s="221">
        <v>6933.26</v>
      </c>
      <c r="EL21" s="221">
        <v>6156.53</v>
      </c>
      <c r="EM21" s="221">
        <v>8748</v>
      </c>
      <c r="EN21" s="221">
        <v>7272</v>
      </c>
      <c r="EO21" s="222">
        <v>4</v>
      </c>
      <c r="EP21" s="222">
        <v>4</v>
      </c>
      <c r="EQ21" s="222">
        <v>4.0999999999999996</v>
      </c>
      <c r="ER21" s="222">
        <v>4.0999999999999996</v>
      </c>
      <c r="ES21" s="222">
        <v>4</v>
      </c>
      <c r="ET21" s="222">
        <v>4.0999999999999996</v>
      </c>
      <c r="EU21" s="222">
        <v>4.2</v>
      </c>
      <c r="EV21" s="222">
        <v>4</v>
      </c>
      <c r="EW21" s="222">
        <v>4.0999999999999996</v>
      </c>
      <c r="EX21" s="222">
        <v>4</v>
      </c>
      <c r="EY21" s="222">
        <v>4</v>
      </c>
      <c r="EZ21" s="222">
        <v>3.4</v>
      </c>
      <c r="FA21" s="222">
        <v>3.5</v>
      </c>
      <c r="FB21" s="222">
        <v>3.9</v>
      </c>
      <c r="FC21" s="222">
        <v>3.7</v>
      </c>
      <c r="FD21" s="223">
        <v>3.6</v>
      </c>
      <c r="FE21" s="223">
        <v>3.8</v>
      </c>
      <c r="FF21" s="223">
        <v>3.5</v>
      </c>
      <c r="FG21" s="223">
        <v>3.4</v>
      </c>
      <c r="FH21" s="223">
        <v>3.2</v>
      </c>
      <c r="FI21" s="223">
        <v>3.1</v>
      </c>
      <c r="FJ21" s="223">
        <v>2.7</v>
      </c>
      <c r="FK21" s="223">
        <v>2.4</v>
      </c>
      <c r="FL21" s="223">
        <v>2.5</v>
      </c>
      <c r="FM21" s="223">
        <v>2.4</v>
      </c>
      <c r="FN21" s="223">
        <v>2.4</v>
      </c>
      <c r="FO21" s="223">
        <v>2.4</v>
      </c>
      <c r="FP21" s="223">
        <v>2.4</v>
      </c>
      <c r="FQ21" s="223">
        <v>3.3</v>
      </c>
      <c r="FR21" s="223">
        <v>3.3</v>
      </c>
      <c r="FS21" s="223">
        <v>3.3</v>
      </c>
      <c r="FT21" s="223">
        <v>3.2</v>
      </c>
      <c r="FU21" s="223">
        <v>3.3</v>
      </c>
      <c r="FV21" s="223">
        <v>3.5</v>
      </c>
      <c r="FW21" s="223">
        <v>3.8</v>
      </c>
      <c r="FX21" s="223">
        <v>3.8</v>
      </c>
      <c r="FY21" s="223">
        <v>3.8</v>
      </c>
      <c r="FZ21" s="223">
        <v>3.6</v>
      </c>
      <c r="GA21" s="223">
        <v>3.9</v>
      </c>
      <c r="GB21" s="223">
        <v>3.7</v>
      </c>
      <c r="GC21" s="223">
        <v>3.8</v>
      </c>
      <c r="GD21" s="223">
        <v>3.8</v>
      </c>
      <c r="GE21" s="223">
        <v>4.0999999999999996</v>
      </c>
      <c r="GF21" s="223">
        <v>3.8</v>
      </c>
      <c r="GG21" s="223">
        <v>3819.1753125</v>
      </c>
      <c r="GH21" s="223">
        <v>3996.0725000000002</v>
      </c>
      <c r="GI21" s="223">
        <v>4193.8554062499998</v>
      </c>
      <c r="GJ21" s="223">
        <v>4430.6518671874992</v>
      </c>
      <c r="GK21" s="223">
        <v>4521.5490625000002</v>
      </c>
      <c r="GL21" s="223">
        <v>4577.3899062499995</v>
      </c>
      <c r="GM21" s="223">
        <v>4633.4514843750003</v>
      </c>
      <c r="GN21" s="223">
        <v>4593.7643749999997</v>
      </c>
      <c r="GO21" s="223">
        <v>4563.2147968749996</v>
      </c>
      <c r="GP21" s="223">
        <v>4861.8684375000003</v>
      </c>
      <c r="GQ21" s="223">
        <v>5146.2678125000002</v>
      </c>
      <c r="GR21" s="223">
        <v>4338.2331875</v>
      </c>
      <c r="GS21" s="223">
        <v>4468.1697265625007</v>
      </c>
      <c r="GT21" s="223">
        <v>5440.6078593749999</v>
      </c>
      <c r="GU21" s="223">
        <v>5512.8005468750007</v>
      </c>
      <c r="GV21" s="223">
        <v>5146.0576875000006</v>
      </c>
      <c r="GW21" s="223">
        <v>6187.7436562499997</v>
      </c>
      <c r="GX21" s="223">
        <v>6127.2782812500009</v>
      </c>
      <c r="GY21" s="223">
        <v>6242.5434375000004</v>
      </c>
      <c r="GZ21" s="223">
        <v>5776.0205000000005</v>
      </c>
      <c r="HA21" s="223">
        <v>6032.4357968750001</v>
      </c>
      <c r="HB21" s="223">
        <v>6317.5739062500006</v>
      </c>
      <c r="HC21" s="223">
        <v>6760.98225</v>
      </c>
      <c r="HD21" s="223">
        <v>8134.6414062500007</v>
      </c>
      <c r="HE21" s="223">
        <v>9107.2844999999998</v>
      </c>
      <c r="HF21" s="223">
        <v>10059.819</v>
      </c>
      <c r="HG21" s="223">
        <v>12904.639500000001</v>
      </c>
      <c r="HH21" s="223">
        <v>13444.974</v>
      </c>
      <c r="HI21" s="223">
        <v>18642.518812500002</v>
      </c>
      <c r="HJ21" s="223">
        <v>17518.994624999999</v>
      </c>
      <c r="HK21" s="223">
        <v>17352.218812499999</v>
      </c>
      <c r="HL21" s="223">
        <v>15715.757</v>
      </c>
      <c r="HM21" s="223">
        <v>14979.6796875</v>
      </c>
      <c r="HN21" s="223">
        <v>16773.86375</v>
      </c>
      <c r="HO21" s="223">
        <v>19657.739624999998</v>
      </c>
      <c r="HP21" s="223">
        <v>21152.714250000001</v>
      </c>
      <c r="HQ21" s="223">
        <v>23039.803749999999</v>
      </c>
      <c r="HR21" s="223">
        <v>23771.445750000003</v>
      </c>
      <c r="HS21" s="223">
        <v>27032.647687500001</v>
      </c>
      <c r="HT21" s="223">
        <v>25627.381687500005</v>
      </c>
      <c r="HU21" s="223">
        <v>28981.977749999998</v>
      </c>
      <c r="HV21" s="223">
        <v>32013.886125000001</v>
      </c>
      <c r="HW21" s="223">
        <v>35003.580874999992</v>
      </c>
      <c r="HX21" s="223">
        <v>33264.717875000002</v>
      </c>
      <c r="HY21" s="224">
        <v>3924.8519512884413</v>
      </c>
      <c r="HZ21" s="224">
        <v>4014.5785025230803</v>
      </c>
      <c r="IA21" s="224">
        <v>4120.8925314452426</v>
      </c>
      <c r="IB21" s="224">
        <v>4260.1565672261959</v>
      </c>
      <c r="IC21" s="224">
        <v>4256.2317489510388</v>
      </c>
      <c r="ID21" s="224">
        <v>4220.1480440952682</v>
      </c>
      <c r="IE21" s="224">
        <v>4185.7185638945994</v>
      </c>
      <c r="IF21" s="224">
        <v>4067.8625606480432</v>
      </c>
      <c r="IG21" s="224">
        <v>3962.5087698834682</v>
      </c>
      <c r="IH21" s="224">
        <v>4141.5928437438324</v>
      </c>
      <c r="II21" s="224">
        <v>4302.07937993426</v>
      </c>
      <c r="IJ21" s="224">
        <v>3567.9563646271854</v>
      </c>
      <c r="IK21" s="224">
        <v>3616.3503383259422</v>
      </c>
      <c r="IL21" s="224">
        <v>4334.4338904782244</v>
      </c>
      <c r="IM21" s="224">
        <v>4324.2212977565096</v>
      </c>
      <c r="IN21" s="224">
        <v>3975.2484367236539</v>
      </c>
      <c r="IO21" s="224">
        <v>4708.429500407934</v>
      </c>
      <c r="IP21" s="224">
        <v>4593.701046074746</v>
      </c>
      <c r="IQ21" s="224">
        <v>4612.1389451769928</v>
      </c>
      <c r="IR21" s="224">
        <v>4206.3640255780401</v>
      </c>
      <c r="IS21" s="224">
        <v>4331.0900670085812</v>
      </c>
      <c r="IT21" s="224">
        <v>4472.6788581580931</v>
      </c>
      <c r="IU21" s="224">
        <v>4721.8994042122022</v>
      </c>
      <c r="IV21" s="224">
        <v>5605.498693106676</v>
      </c>
      <c r="IW21" s="224">
        <v>6193.1401707898694</v>
      </c>
      <c r="IX21" s="224">
        <v>6752.0176881883608</v>
      </c>
      <c r="IY21" s="224">
        <v>8550.3515813291688</v>
      </c>
      <c r="IZ21" s="224">
        <v>8795.573851954603</v>
      </c>
      <c r="JA21" s="224">
        <v>12043.273446923184</v>
      </c>
      <c r="JB21" s="224">
        <v>11177.708472079074</v>
      </c>
      <c r="JC21" s="224">
        <v>10936.251453279785</v>
      </c>
      <c r="JD21" s="224">
        <v>9785.5056960543552</v>
      </c>
      <c r="JE21" s="224">
        <v>9225.2807458300122</v>
      </c>
      <c r="JF21" s="224">
        <v>10218.593257330685</v>
      </c>
      <c r="JG21" s="224">
        <v>11847.405246472747</v>
      </c>
      <c r="JH21" s="224">
        <v>12613.542648339484</v>
      </c>
      <c r="JI21" s="224">
        <v>13595.013461184193</v>
      </c>
      <c r="JJ21" s="224">
        <v>13881.422344063503</v>
      </c>
      <c r="JK21" s="224">
        <v>15623.9583241822</v>
      </c>
      <c r="JL21" s="224">
        <v>14661.435659384919</v>
      </c>
      <c r="JM21" s="224">
        <v>16414.013683074842</v>
      </c>
      <c r="JN21" s="224">
        <v>17951.634670542539</v>
      </c>
      <c r="JO21" s="224">
        <v>19436.769425757742</v>
      </c>
      <c r="JP21" s="224">
        <v>18060.855187252997</v>
      </c>
    </row>
    <row r="22" spans="1:276" s="225" customFormat="1" ht="14" customHeight="1">
      <c r="A22" s="217" t="s">
        <v>714</v>
      </c>
      <c r="B22" s="217" t="s">
        <v>530</v>
      </c>
      <c r="C22" s="217">
        <v>14</v>
      </c>
      <c r="D22" s="217" t="s">
        <v>641</v>
      </c>
      <c r="E22" s="218">
        <v>111.19963413218792</v>
      </c>
      <c r="F22" s="218">
        <v>110.64985532455043</v>
      </c>
      <c r="G22" s="218">
        <v>113.35738660138743</v>
      </c>
      <c r="H22" s="218">
        <v>133.00811000020286</v>
      </c>
      <c r="I22" s="218">
        <v>123.46857066221224</v>
      </c>
      <c r="J22" s="218">
        <v>121.78503379402632</v>
      </c>
      <c r="K22" s="218">
        <v>120.54128511163525</v>
      </c>
      <c r="L22" s="218">
        <v>122.28984579193572</v>
      </c>
      <c r="M22" s="218">
        <v>135.6541097714051</v>
      </c>
      <c r="N22" s="218">
        <v>140.17035111163599</v>
      </c>
      <c r="O22" s="218">
        <v>158.13139676099271</v>
      </c>
      <c r="P22" s="218">
        <v>174.81293036827168</v>
      </c>
      <c r="Q22" s="218">
        <v>188.54292790326917</v>
      </c>
      <c r="R22" s="218">
        <v>201.90404751143291</v>
      </c>
      <c r="S22" s="218">
        <v>215.45536828434152</v>
      </c>
      <c r="T22" s="218">
        <v>210.05344642085265</v>
      </c>
      <c r="U22" s="218">
        <v>206.17435281154346</v>
      </c>
      <c r="V22" s="218">
        <v>196.86742310932803</v>
      </c>
      <c r="W22" s="218">
        <v>196.44237494326217</v>
      </c>
      <c r="X22" s="218">
        <v>192.87156064260529</v>
      </c>
      <c r="Y22" s="218">
        <v>173.61167081327346</v>
      </c>
      <c r="Z22" s="218">
        <v>165.42599659628718</v>
      </c>
      <c r="AA22" s="218">
        <v>174.2242753720713</v>
      </c>
      <c r="AB22" s="218">
        <v>186.66696316061393</v>
      </c>
      <c r="AC22" s="218">
        <v>162.83495845690499</v>
      </c>
      <c r="AD22" s="218">
        <v>166.49315313975623</v>
      </c>
      <c r="AE22" s="218">
        <v>169.66069828545315</v>
      </c>
      <c r="AF22" s="218">
        <v>161.59581203291398</v>
      </c>
      <c r="AG22" s="218">
        <v>168.57022979666564</v>
      </c>
      <c r="AH22" s="218">
        <v>158.68168503396862</v>
      </c>
      <c r="AI22" s="218">
        <v>172.65308120524838</v>
      </c>
      <c r="AJ22" s="218">
        <v>189.31313367282064</v>
      </c>
      <c r="AK22" s="218">
        <v>197.04200738342726</v>
      </c>
      <c r="AL22" s="218">
        <v>209.10637631807651</v>
      </c>
      <c r="AM22" s="218">
        <v>196.78667154680224</v>
      </c>
      <c r="AN22" s="218">
        <v>197.15119708713664</v>
      </c>
      <c r="AO22" s="218">
        <v>200.88393021335602</v>
      </c>
      <c r="AP22" s="218">
        <v>201.2972909171545</v>
      </c>
      <c r="AQ22" s="218">
        <v>193.77634969217135</v>
      </c>
      <c r="AR22" s="218">
        <v>181.32208405544716</v>
      </c>
      <c r="AS22" s="218">
        <v>167.01206306183087</v>
      </c>
      <c r="AT22" s="218">
        <v>4429.9034776361341</v>
      </c>
      <c r="AU22" s="218">
        <v>4989.9709218035441</v>
      </c>
      <c r="AV22" s="218">
        <v>5487.765890932561</v>
      </c>
      <c r="AW22" s="218">
        <v>5894.8351738450019</v>
      </c>
      <c r="AX22" s="218">
        <v>6315.3186707431005</v>
      </c>
      <c r="AY22" s="218">
        <v>6753.8778841994772</v>
      </c>
      <c r="AZ22" s="218">
        <v>6749.3826320873886</v>
      </c>
      <c r="BA22" s="218">
        <v>6673.7044936642724</v>
      </c>
      <c r="BB22" s="218">
        <v>6476.6775142504503</v>
      </c>
      <c r="BC22" s="218">
        <v>6427.7432507439971</v>
      </c>
      <c r="BD22" s="218">
        <v>6339.4292212634145</v>
      </c>
      <c r="BE22" s="218">
        <v>5700.2116035510635</v>
      </c>
      <c r="BF22" s="218">
        <v>5449.3093703880277</v>
      </c>
      <c r="BG22" s="218">
        <v>5720.9939615892963</v>
      </c>
      <c r="BH22" s="218">
        <v>6124.7660787807699</v>
      </c>
      <c r="BI22" s="218">
        <v>5409.0392491635412</v>
      </c>
      <c r="BJ22" s="218">
        <v>5448.0569520171885</v>
      </c>
      <c r="BK22" s="218">
        <v>5522.0313813750217</v>
      </c>
      <c r="BL22" s="218">
        <v>5278.1132605965086</v>
      </c>
      <c r="BM22" s="218">
        <v>5594.5909343750609</v>
      </c>
      <c r="BN22" s="218">
        <v>5235.8348714938966</v>
      </c>
      <c r="BO22" s="218">
        <v>5604.7364106978903</v>
      </c>
      <c r="BP22" s="218">
        <v>6117.7943637568023</v>
      </c>
      <c r="BQ22" s="218">
        <v>6409.9967850782941</v>
      </c>
      <c r="BR22" s="218">
        <v>6619.2365044082744</v>
      </c>
      <c r="BS22" s="218">
        <v>6457.6664675284892</v>
      </c>
      <c r="BT22" s="218">
        <v>6625.9589261038909</v>
      </c>
      <c r="BU22" s="218">
        <v>6928.3918435115702</v>
      </c>
      <c r="BV22" s="218">
        <v>6205.039465150473</v>
      </c>
      <c r="BW22" s="218">
        <v>6125.6202934118155</v>
      </c>
      <c r="BX22" s="218">
        <v>5878.3818193053721</v>
      </c>
      <c r="BY22" s="218">
        <v>5774.4189453752724</v>
      </c>
      <c r="BZ22" s="218">
        <v>5059.9229914048583</v>
      </c>
      <c r="CA22" s="218">
        <v>5239.219901967137</v>
      </c>
      <c r="CB22" s="218">
        <v>5495.0429538903882</v>
      </c>
      <c r="CC22" s="218">
        <v>5854.90602505685</v>
      </c>
      <c r="CD22" s="219">
        <v>2386.4210520787774</v>
      </c>
      <c r="CE22" s="219">
        <v>2796.5848713342848</v>
      </c>
      <c r="CF22" s="219">
        <v>2620.9609963384114</v>
      </c>
      <c r="CG22" s="219">
        <v>2954.3074119006078</v>
      </c>
      <c r="CH22" s="219">
        <v>3119.0146928034947</v>
      </c>
      <c r="CI22" s="219">
        <v>3053.8698061169844</v>
      </c>
      <c r="CJ22" s="219">
        <v>2780.0733947396229</v>
      </c>
      <c r="CK22" s="219">
        <v>3165.5330029746228</v>
      </c>
      <c r="CL22" s="219">
        <v>3572.3793557409158</v>
      </c>
      <c r="CM22" s="219">
        <v>3766.3780471327555</v>
      </c>
      <c r="CN22" s="219">
        <v>3963.2212380442629</v>
      </c>
      <c r="CO22" s="219">
        <v>3824.9612566581909</v>
      </c>
      <c r="CP22" s="219">
        <v>4069.4886246057326</v>
      </c>
      <c r="CQ22" s="219">
        <v>3789.4433562648424</v>
      </c>
      <c r="CR22" s="219">
        <v>3913.1200923388142</v>
      </c>
      <c r="CS22" s="219">
        <v>4292.9336396762828</v>
      </c>
      <c r="CT22" s="219">
        <v>4578.7675837255847</v>
      </c>
      <c r="CU22" s="219">
        <v>4834.5456806007096</v>
      </c>
      <c r="CV22" s="219">
        <v>5051.871864087474</v>
      </c>
      <c r="CW22" s="219">
        <v>4607.2049067656453</v>
      </c>
      <c r="CX22" s="219">
        <v>4823.6657551213184</v>
      </c>
      <c r="CY22" s="219">
        <v>4936.7801552655428</v>
      </c>
      <c r="CZ22" s="219">
        <v>5402.1392179940531</v>
      </c>
      <c r="DA22" s="219">
        <v>5146.4138120638017</v>
      </c>
      <c r="DB22" s="219">
        <v>4725.9616383247903</v>
      </c>
      <c r="DC22" s="219">
        <v>4349.4522223307322</v>
      </c>
      <c r="DD22" s="219">
        <v>3755.5720810213052</v>
      </c>
      <c r="DE22" s="219">
        <v>4182.6765487998973</v>
      </c>
      <c r="DF22" s="219">
        <v>4709.9187453489403</v>
      </c>
      <c r="DG22" s="219">
        <v>5855.2578527443447</v>
      </c>
      <c r="DH22" s="219">
        <v>5899.3441175449652</v>
      </c>
      <c r="DI22" s="219">
        <v>5776.3441677061628</v>
      </c>
      <c r="DJ22" s="219">
        <v>5685.7735848479051</v>
      </c>
      <c r="DK22" s="219">
        <v>5981.6884177715438</v>
      </c>
      <c r="DL22" s="219">
        <v>6205.039465150473</v>
      </c>
      <c r="DM22" s="219">
        <v>6125.6202934118155</v>
      </c>
      <c r="DN22" s="219">
        <v>5878.3818193053721</v>
      </c>
      <c r="DO22" s="219">
        <v>5774.4189453752724</v>
      </c>
      <c r="DP22" s="219">
        <v>5059.9229914048583</v>
      </c>
      <c r="DQ22" s="219">
        <v>5239.219901967137</v>
      </c>
      <c r="DR22" s="219">
        <v>5495.0429538903882</v>
      </c>
      <c r="DS22" s="219">
        <v>5854.90602505685</v>
      </c>
      <c r="DT22" s="220">
        <v>1.255746675858604</v>
      </c>
      <c r="DU22" s="220">
        <v>1.2281995776019894</v>
      </c>
      <c r="DV22" s="220">
        <v>1.2330730322799446</v>
      </c>
      <c r="DW22" s="220">
        <v>1.1816483882822115</v>
      </c>
      <c r="DX22" s="220">
        <v>1.1875208282473115</v>
      </c>
      <c r="DY22" s="220">
        <v>1.2071312578473918</v>
      </c>
      <c r="DZ22" s="220">
        <v>1.238963770528996</v>
      </c>
      <c r="EA22" s="220">
        <v>1.2158442365105067</v>
      </c>
      <c r="EB22" s="220">
        <v>1.2470078066301726</v>
      </c>
      <c r="EC22" s="220">
        <v>1.1769648121443099</v>
      </c>
      <c r="ED22" s="220">
        <v>1.1566610225766878</v>
      </c>
      <c r="EE22" s="220">
        <v>1.1531864706396844</v>
      </c>
      <c r="EF22" s="220">
        <v>1.1490873792893921</v>
      </c>
      <c r="EG22" s="221">
        <v>1959</v>
      </c>
      <c r="EH22" s="221">
        <v>3467</v>
      </c>
      <c r="EI22" s="221">
        <v>3988</v>
      </c>
      <c r="EJ22" s="221">
        <v>4165.79</v>
      </c>
      <c r="EK22" s="221">
        <v>6120.35</v>
      </c>
      <c r="EL22" s="221">
        <v>6533.86</v>
      </c>
      <c r="EM22" s="221">
        <v>7066</v>
      </c>
      <c r="EN22" s="221">
        <v>4173</v>
      </c>
      <c r="EO22" s="222">
        <v>0.8</v>
      </c>
      <c r="EP22" s="222">
        <v>0.9</v>
      </c>
      <c r="EQ22" s="222">
        <v>1</v>
      </c>
      <c r="ER22" s="222">
        <v>1</v>
      </c>
      <c r="ES22" s="222">
        <v>1.1000000000000001</v>
      </c>
      <c r="ET22" s="222">
        <v>1.2</v>
      </c>
      <c r="EU22" s="222">
        <v>1.2</v>
      </c>
      <c r="EV22" s="222">
        <v>1.1000000000000001</v>
      </c>
      <c r="EW22" s="222">
        <v>1.2</v>
      </c>
      <c r="EX22" s="222">
        <v>1.1000000000000001</v>
      </c>
      <c r="EY22" s="222">
        <v>1.1000000000000001</v>
      </c>
      <c r="EZ22" s="222">
        <v>1.1000000000000001</v>
      </c>
      <c r="FA22" s="222">
        <v>1.1000000000000001</v>
      </c>
      <c r="FB22" s="222">
        <v>1.1000000000000001</v>
      </c>
      <c r="FC22" s="222">
        <v>1.2</v>
      </c>
      <c r="FD22" s="223">
        <v>1.2</v>
      </c>
      <c r="FE22" s="223">
        <v>1.2</v>
      </c>
      <c r="FF22" s="223">
        <v>1.2</v>
      </c>
      <c r="FG22" s="223">
        <v>1.2</v>
      </c>
      <c r="FH22" s="223">
        <v>1.3</v>
      </c>
      <c r="FI22" s="223">
        <v>1.3</v>
      </c>
      <c r="FJ22" s="223">
        <v>1.3</v>
      </c>
      <c r="FK22" s="223">
        <v>1.4</v>
      </c>
      <c r="FL22" s="223">
        <v>1.4</v>
      </c>
      <c r="FM22" s="223">
        <v>1.4</v>
      </c>
      <c r="FN22" s="223">
        <v>1.4</v>
      </c>
      <c r="FO22" s="223">
        <v>1.4</v>
      </c>
      <c r="FP22" s="223">
        <v>1.4</v>
      </c>
      <c r="FQ22" s="223">
        <v>1.1000000000000001</v>
      </c>
      <c r="FR22" s="223">
        <v>1.3</v>
      </c>
      <c r="FS22" s="223">
        <v>1.3</v>
      </c>
      <c r="FT22" s="223">
        <v>1.3</v>
      </c>
      <c r="FU22" s="223">
        <v>1.4</v>
      </c>
      <c r="FV22" s="223">
        <v>1.3</v>
      </c>
      <c r="FW22" s="223">
        <v>1.1000000000000001</v>
      </c>
      <c r="FX22" s="223">
        <v>1.1000000000000001</v>
      </c>
      <c r="FY22" s="223">
        <v>1.2</v>
      </c>
      <c r="FZ22" s="223">
        <v>1.3</v>
      </c>
      <c r="GA22" s="223" t="s">
        <v>3468</v>
      </c>
      <c r="GB22" s="223" t="s">
        <v>3468</v>
      </c>
      <c r="GC22" s="223" t="s">
        <v>3468</v>
      </c>
      <c r="GD22" s="223" t="s">
        <v>3468</v>
      </c>
      <c r="GE22" s="223" t="s">
        <v>3468</v>
      </c>
      <c r="GF22" s="223" t="s">
        <v>3468</v>
      </c>
      <c r="GG22" s="223">
        <v>763.83506250000005</v>
      </c>
      <c r="GH22" s="223">
        <v>899.11631250000005</v>
      </c>
      <c r="GI22" s="223">
        <v>1022.8915625000001</v>
      </c>
      <c r="GJ22" s="223">
        <v>1080.6467968750001</v>
      </c>
      <c r="GK22" s="223">
        <v>1243.4259921875</v>
      </c>
      <c r="GL22" s="223">
        <v>1339.7238750000001</v>
      </c>
      <c r="GM22" s="223">
        <v>1323.84328125</v>
      </c>
      <c r="GN22" s="223">
        <v>1263.2852031250002</v>
      </c>
      <c r="GO22" s="223">
        <v>1335.5750625000001</v>
      </c>
      <c r="GP22" s="223">
        <v>1337.0138203125002</v>
      </c>
      <c r="GQ22" s="223">
        <v>1415.2236484375001</v>
      </c>
      <c r="GR22" s="223">
        <v>1403.5460312500002</v>
      </c>
      <c r="GS22" s="223">
        <v>1404.2819140625002</v>
      </c>
      <c r="GT22" s="223">
        <v>1534.5304218750002</v>
      </c>
      <c r="GU22" s="223">
        <v>1787.9353125</v>
      </c>
      <c r="GV22" s="223">
        <v>1715.3525625</v>
      </c>
      <c r="GW22" s="223">
        <v>1954.0243125</v>
      </c>
      <c r="GX22" s="223">
        <v>2100.781125</v>
      </c>
      <c r="GY22" s="223">
        <v>2203.2506250000001</v>
      </c>
      <c r="GZ22" s="223">
        <v>2346.5083281250004</v>
      </c>
      <c r="HA22" s="223">
        <v>2529.7311406250001</v>
      </c>
      <c r="HB22" s="223">
        <v>3041.7948437500004</v>
      </c>
      <c r="HC22" s="223">
        <v>3943.9063124999998</v>
      </c>
      <c r="HD22" s="223">
        <v>4555.3991874999992</v>
      </c>
      <c r="HE22" s="223">
        <v>5312.5826249999991</v>
      </c>
      <c r="HF22" s="223">
        <v>5868.2277499999991</v>
      </c>
      <c r="HG22" s="223">
        <v>7527.7063749999988</v>
      </c>
      <c r="HH22" s="223">
        <v>7842.901499999999</v>
      </c>
      <c r="HI22" s="223">
        <v>6214.1729375000004</v>
      </c>
      <c r="HJ22" s="223">
        <v>6901.422125000001</v>
      </c>
      <c r="HK22" s="223">
        <v>6835.722562500001</v>
      </c>
      <c r="HL22" s="223">
        <v>6384.5262812500005</v>
      </c>
      <c r="HM22" s="223">
        <v>6355.0156249999991</v>
      </c>
      <c r="HN22" s="223">
        <v>6230.2922500000004</v>
      </c>
      <c r="HO22" s="223">
        <v>5690.3983125000004</v>
      </c>
      <c r="HP22" s="223">
        <v>6123.1541250000009</v>
      </c>
      <c r="HQ22" s="223">
        <v>7275.7275</v>
      </c>
      <c r="HR22" s="223">
        <v>8584.1331875000014</v>
      </c>
      <c r="HS22" s="223" t="e">
        <v>#VALUE!</v>
      </c>
      <c r="HT22" s="223" t="e">
        <v>#VALUE!</v>
      </c>
      <c r="HU22" s="223" t="e">
        <v>#VALUE!</v>
      </c>
      <c r="HV22" s="223" t="e">
        <v>#VALUE!</v>
      </c>
      <c r="HW22" s="223" t="e">
        <v>#VALUE!</v>
      </c>
      <c r="HX22" s="223" t="e">
        <v>#VALUE!</v>
      </c>
      <c r="HY22" s="224">
        <v>1724.1548067807323</v>
      </c>
      <c r="HZ22" s="224">
        <v>1964.7846708493612</v>
      </c>
      <c r="IA22" s="224">
        <v>2166.1729524107213</v>
      </c>
      <c r="IB22" s="224">
        <v>2219.8665485260999</v>
      </c>
      <c r="IC22" s="224">
        <v>2479.8943926669335</v>
      </c>
      <c r="ID22" s="224">
        <v>2596.3716464292052</v>
      </c>
      <c r="IE22" s="224">
        <v>2495.0202645449199</v>
      </c>
      <c r="IF22" s="224">
        <v>2317.1471135562124</v>
      </c>
      <c r="IG22" s="224">
        <v>2385.868915706299</v>
      </c>
      <c r="IH22" s="224">
        <v>2327.7460814140363</v>
      </c>
      <c r="II22" s="224">
        <v>2402.8504482135977</v>
      </c>
      <c r="IJ22" s="224">
        <v>2311.6835709400389</v>
      </c>
      <c r="IK22" s="224">
        <v>2245.6676495447141</v>
      </c>
      <c r="IL22" s="224">
        <v>2384.6420934131806</v>
      </c>
      <c r="IM22" s="224">
        <v>2702.1077225450972</v>
      </c>
      <c r="IN22" s="224">
        <v>2523.1045153243858</v>
      </c>
      <c r="IO22" s="224">
        <v>2799.3250480073261</v>
      </c>
      <c r="IP22" s="224">
        <v>2933.1904511785342</v>
      </c>
      <c r="IQ22" s="224">
        <v>3000.1242874238765</v>
      </c>
      <c r="IR22" s="224">
        <v>3118.0239403393721</v>
      </c>
      <c r="IS22" s="224">
        <v>3282.2158103117217</v>
      </c>
      <c r="IT22" s="224">
        <v>3855.6686636076138</v>
      </c>
      <c r="IU22" s="224">
        <v>4888.0454982002166</v>
      </c>
      <c r="IV22" s="224">
        <v>5523.1715084854177</v>
      </c>
      <c r="IW22" s="224">
        <v>6304.1504753878507</v>
      </c>
      <c r="IX22" s="224">
        <v>6818.4131723655364</v>
      </c>
      <c r="IY22" s="224">
        <v>8568.0716192613836</v>
      </c>
      <c r="IZ22" s="224">
        <v>8748.2705133513446</v>
      </c>
      <c r="JA22" s="224">
        <v>6795.596717492248</v>
      </c>
      <c r="JB22" s="224">
        <v>7401.9937988363899</v>
      </c>
      <c r="JC22" s="224">
        <v>7193.1827437213115</v>
      </c>
      <c r="JD22" s="224">
        <v>6593.9637581359129</v>
      </c>
      <c r="JE22" s="224">
        <v>6457.3670232496233</v>
      </c>
      <c r="JF22" s="224">
        <v>6229.9103564951465</v>
      </c>
      <c r="JG22" s="224">
        <v>5600.93458438364</v>
      </c>
      <c r="JH22" s="224">
        <v>5933.9518504344542</v>
      </c>
      <c r="JI22" s="224">
        <v>6943.8377478523253</v>
      </c>
      <c r="JJ22" s="224">
        <v>8070.0090508861476</v>
      </c>
      <c r="JK22" s="224"/>
      <c r="JL22" s="224"/>
      <c r="JM22" s="224"/>
      <c r="JN22" s="224"/>
      <c r="JO22" s="224"/>
      <c r="JP22" s="224"/>
    </row>
    <row r="23" spans="1:276" s="225" customFormat="1" ht="14" customHeight="1">
      <c r="A23" s="217" t="s">
        <v>620</v>
      </c>
      <c r="B23" s="217" t="s">
        <v>621</v>
      </c>
      <c r="C23" s="217">
        <v>15</v>
      </c>
      <c r="D23" s="217" t="s">
        <v>541</v>
      </c>
      <c r="E23" s="218">
        <v>330.15379955777564</v>
      </c>
      <c r="F23" s="218">
        <v>226.50410120813831</v>
      </c>
      <c r="G23" s="218">
        <v>204.69313346365058</v>
      </c>
      <c r="H23" s="218">
        <v>184.45909352169531</v>
      </c>
      <c r="I23" s="218">
        <v>184.54221176804444</v>
      </c>
      <c r="J23" s="218">
        <v>188.4295277116093</v>
      </c>
      <c r="K23" s="218">
        <v>222.85820995096097</v>
      </c>
      <c r="L23" s="218">
        <v>225.57752466188265</v>
      </c>
      <c r="M23" s="218">
        <v>302.2321197770155</v>
      </c>
      <c r="N23" s="218">
        <v>360.99515398483197</v>
      </c>
      <c r="O23" s="218">
        <v>426.20046487966499</v>
      </c>
      <c r="P23" s="218">
        <v>425.65541638040139</v>
      </c>
      <c r="Q23" s="218">
        <v>405.44209732642611</v>
      </c>
      <c r="R23" s="218">
        <v>439.40565794118271</v>
      </c>
      <c r="S23" s="218">
        <v>486.78786940900972</v>
      </c>
      <c r="T23" s="218">
        <v>482.92329859127204</v>
      </c>
      <c r="U23" s="218">
        <v>496.05018132708238</v>
      </c>
      <c r="V23" s="218">
        <v>570.25996827217136</v>
      </c>
      <c r="W23" s="218">
        <v>575.98338779727658</v>
      </c>
      <c r="X23" s="218">
        <v>681.78399354342412</v>
      </c>
      <c r="Y23" s="218">
        <v>656.55555150975044</v>
      </c>
      <c r="Z23" s="218">
        <v>725.2565842555764</v>
      </c>
      <c r="AA23" s="218">
        <v>682.80939883334577</v>
      </c>
      <c r="AB23" s="218">
        <v>632.68041017628263</v>
      </c>
      <c r="AC23" s="218">
        <v>621.86654758339489</v>
      </c>
      <c r="AD23" s="218">
        <v>586.60231779496041</v>
      </c>
      <c r="AE23" s="218">
        <v>652.78074152868714</v>
      </c>
      <c r="AF23" s="218">
        <v>607.76976448027426</v>
      </c>
      <c r="AG23" s="218">
        <v>703.2176512006057</v>
      </c>
      <c r="AH23" s="218">
        <v>538.43374850060616</v>
      </c>
      <c r="AI23" s="218">
        <v>622.35726463020603</v>
      </c>
      <c r="AJ23" s="218">
        <v>735.94552938344236</v>
      </c>
      <c r="AK23" s="218">
        <v>775.76023660251633</v>
      </c>
      <c r="AL23" s="218">
        <v>844.62650194986816</v>
      </c>
      <c r="AM23" s="218">
        <v>805.63189930601345</v>
      </c>
      <c r="AN23" s="218">
        <v>812.80542708571318</v>
      </c>
      <c r="AO23" s="218">
        <v>857.04053381102392</v>
      </c>
      <c r="AP23" s="218">
        <v>811.30782730637543</v>
      </c>
      <c r="AQ23" s="218">
        <v>860.47233656534763</v>
      </c>
      <c r="AR23" s="218">
        <v>831.24617110747067</v>
      </c>
      <c r="AS23" s="218">
        <v>798.77761762135049</v>
      </c>
      <c r="AT23" s="218">
        <v>11401.406076576308</v>
      </c>
      <c r="AU23" s="218">
        <v>13352.527257135458</v>
      </c>
      <c r="AV23" s="218">
        <v>13205.5178680346</v>
      </c>
      <c r="AW23" s="218">
        <v>12491.71078776626</v>
      </c>
      <c r="AX23" s="218">
        <v>13525.931847582158</v>
      </c>
      <c r="AY23" s="218">
        <v>15017.427863323022</v>
      </c>
      <c r="AZ23" s="218">
        <v>15289.965230062982</v>
      </c>
      <c r="BA23" s="218">
        <v>15858.323931852583</v>
      </c>
      <c r="BB23" s="218">
        <v>18590.018321970845</v>
      </c>
      <c r="BC23" s="218">
        <v>18753.138837613453</v>
      </c>
      <c r="BD23" s="218">
        <v>22409.324406659543</v>
      </c>
      <c r="BE23" s="218">
        <v>21419.264501919297</v>
      </c>
      <c r="BF23" s="218">
        <v>23627.920757444033</v>
      </c>
      <c r="BG23" s="218">
        <v>22105.534641618102</v>
      </c>
      <c r="BH23" s="218">
        <v>20430.619796797255</v>
      </c>
      <c r="BI23" s="218">
        <v>20319.451580681998</v>
      </c>
      <c r="BJ23" s="218">
        <v>18891.873454614357</v>
      </c>
      <c r="BK23" s="218">
        <v>20943.253175395555</v>
      </c>
      <c r="BL23" s="218">
        <v>19615.917357275524</v>
      </c>
      <c r="BM23" s="218">
        <v>23137.295732096933</v>
      </c>
      <c r="BN23" s="218">
        <v>17683.263111421904</v>
      </c>
      <c r="BO23" s="218">
        <v>20203.221380037703</v>
      </c>
      <c r="BP23" s="218">
        <v>23716.829151862254</v>
      </c>
      <c r="BQ23" s="218">
        <v>25099.660478667924</v>
      </c>
      <c r="BR23" s="218">
        <v>26523.796500154454</v>
      </c>
      <c r="BS23" s="218">
        <v>26162.397367365593</v>
      </c>
      <c r="BT23" s="218">
        <v>27287.172171642254</v>
      </c>
      <c r="BU23" s="218">
        <v>28872.599223481913</v>
      </c>
      <c r="BV23" s="218">
        <v>15505.205705724129</v>
      </c>
      <c r="BW23" s="218">
        <v>17009.840154885263</v>
      </c>
      <c r="BX23" s="218">
        <v>20485.45078880879</v>
      </c>
      <c r="BY23" s="218">
        <v>18461.831160800069</v>
      </c>
      <c r="BZ23" s="218">
        <v>23744.911027727874</v>
      </c>
      <c r="CA23" s="218">
        <v>23053.015852301094</v>
      </c>
      <c r="CB23" s="218">
        <v>23801.843049776297</v>
      </c>
      <c r="CC23" s="218">
        <v>26072.839757050177</v>
      </c>
      <c r="CD23" s="219">
        <v>4323.1566688046996</v>
      </c>
      <c r="CE23" s="219">
        <v>4753.8186639718915</v>
      </c>
      <c r="CF23" s="219">
        <v>4523.4035397019907</v>
      </c>
      <c r="CG23" s="219">
        <v>5016.1816953388288</v>
      </c>
      <c r="CH23" s="219">
        <v>5357.0099130445878</v>
      </c>
      <c r="CI23" s="219">
        <v>5091.224496904023</v>
      </c>
      <c r="CJ23" s="219">
        <v>4721.0996286354366</v>
      </c>
      <c r="CK23" s="219">
        <v>5064.5533424277119</v>
      </c>
      <c r="CL23" s="219">
        <v>5321.6207842366784</v>
      </c>
      <c r="CM23" s="219">
        <v>5035.4975898402663</v>
      </c>
      <c r="CN23" s="219">
        <v>6047.536251496661</v>
      </c>
      <c r="CO23" s="219">
        <v>5882.5330374470559</v>
      </c>
      <c r="CP23" s="219">
        <v>6176.9809172502037</v>
      </c>
      <c r="CQ23" s="219">
        <v>5791.6572209852857</v>
      </c>
      <c r="CR23" s="219">
        <v>5535.0944444941433</v>
      </c>
      <c r="CS23" s="219">
        <v>6167.5550406448028</v>
      </c>
      <c r="CT23" s="219">
        <v>6797.5898169962102</v>
      </c>
      <c r="CU23" s="219">
        <v>8894.6441359711644</v>
      </c>
      <c r="CV23" s="219">
        <v>7439.4487898118387</v>
      </c>
      <c r="CW23" s="219">
        <v>6933.3025067327735</v>
      </c>
      <c r="CX23" s="219">
        <v>7359.2637632105143</v>
      </c>
      <c r="CY23" s="219">
        <v>7177.3188885912023</v>
      </c>
      <c r="CZ23" s="219">
        <v>7953.5788057494074</v>
      </c>
      <c r="DA23" s="219">
        <v>7619.0837174467852</v>
      </c>
      <c r="DB23" s="219">
        <v>6810.6582838465256</v>
      </c>
      <c r="DC23" s="219">
        <v>6561.4279946652214</v>
      </c>
      <c r="DD23" s="219">
        <v>6017.965412784105</v>
      </c>
      <c r="DE23" s="219">
        <v>6778.1765221155283</v>
      </c>
      <c r="DF23" s="219">
        <v>7387.3985059496117</v>
      </c>
      <c r="DG23" s="219">
        <v>14881.758987878256</v>
      </c>
      <c r="DH23" s="219">
        <v>14972.719098198206</v>
      </c>
      <c r="DI23" s="219">
        <v>15596.319025846915</v>
      </c>
      <c r="DJ23" s="219">
        <v>16652.639533878933</v>
      </c>
      <c r="DK23" s="219">
        <v>16858.624319452203</v>
      </c>
      <c r="DL23" s="219">
        <v>15505.205705724129</v>
      </c>
      <c r="DM23" s="219">
        <v>17009.840154885263</v>
      </c>
      <c r="DN23" s="219">
        <v>20485.45078880879</v>
      </c>
      <c r="DO23" s="219">
        <v>18461.831160800069</v>
      </c>
      <c r="DP23" s="219">
        <v>23744.911027727874</v>
      </c>
      <c r="DQ23" s="219">
        <v>23053.015852301094</v>
      </c>
      <c r="DR23" s="219">
        <v>23801.843049776297</v>
      </c>
      <c r="DS23" s="219">
        <v>26072.839757050177</v>
      </c>
      <c r="DT23" s="220">
        <v>1.5804534488437674</v>
      </c>
      <c r="DU23" s="220">
        <v>1.5469926084731487</v>
      </c>
      <c r="DV23" s="220">
        <v>1.6557300788784197</v>
      </c>
      <c r="DW23" s="220">
        <v>1.7245822555042603</v>
      </c>
      <c r="DX23" s="220">
        <v>1.6709970546880621</v>
      </c>
      <c r="DY23" s="220">
        <v>1.5087710609111153</v>
      </c>
      <c r="DZ23" s="220">
        <v>1.7239006926673857</v>
      </c>
      <c r="EA23" s="220">
        <v>2.1267013925257672</v>
      </c>
      <c r="EB23" s="220">
        <v>2.0044044976135043</v>
      </c>
      <c r="EC23" s="220">
        <v>2.7808021649797445</v>
      </c>
      <c r="ED23" s="220">
        <v>2.5659994097707308</v>
      </c>
      <c r="EE23" s="220">
        <v>2.5218415020729354</v>
      </c>
      <c r="EF23" s="220">
        <v>2.5868467374733055</v>
      </c>
      <c r="EG23" s="221">
        <v>3572</v>
      </c>
      <c r="EH23" s="221">
        <v>8585</v>
      </c>
      <c r="EI23" s="221">
        <v>15779</v>
      </c>
      <c r="EJ23" s="221">
        <v>6908.49</v>
      </c>
      <c r="EK23" s="221">
        <v>11367.92</v>
      </c>
      <c r="EL23" s="221">
        <v>12056.09</v>
      </c>
      <c r="EM23" s="221">
        <v>10674</v>
      </c>
      <c r="EN23" s="221">
        <v>10911</v>
      </c>
      <c r="EO23" s="222">
        <v>0.7</v>
      </c>
      <c r="EP23" s="222">
        <v>0.8</v>
      </c>
      <c r="EQ23" s="222">
        <v>0.8</v>
      </c>
      <c r="ER23" s="222">
        <v>0.8</v>
      </c>
      <c r="ES23" s="222">
        <v>0.9</v>
      </c>
      <c r="ET23" s="222">
        <v>1</v>
      </c>
      <c r="EU23" s="222">
        <v>1.1000000000000001</v>
      </c>
      <c r="EV23" s="222">
        <v>1.1000000000000001</v>
      </c>
      <c r="EW23" s="222">
        <v>1.3</v>
      </c>
      <c r="EX23" s="222">
        <v>1.3</v>
      </c>
      <c r="EY23" s="222">
        <v>1.6</v>
      </c>
      <c r="EZ23" s="222">
        <v>1.7</v>
      </c>
      <c r="FA23" s="222">
        <v>2</v>
      </c>
      <c r="FB23" s="222">
        <v>1.9</v>
      </c>
      <c r="FC23" s="222">
        <v>1.8</v>
      </c>
      <c r="FD23" s="223">
        <v>2</v>
      </c>
      <c r="FE23" s="223">
        <v>1.8</v>
      </c>
      <c r="FF23" s="223">
        <v>2.1</v>
      </c>
      <c r="FG23" s="223">
        <v>2.1</v>
      </c>
      <c r="FH23" s="223">
        <v>2.7</v>
      </c>
      <c r="FI23" s="223">
        <v>2.2000000000000002</v>
      </c>
      <c r="FJ23" s="223">
        <v>2.4</v>
      </c>
      <c r="FK23" s="223">
        <v>2.6</v>
      </c>
      <c r="FL23" s="223">
        <v>2.7</v>
      </c>
      <c r="FM23" s="223">
        <v>2.7</v>
      </c>
      <c r="FN23" s="223">
        <v>2.8</v>
      </c>
      <c r="FO23" s="223">
        <v>2.8</v>
      </c>
      <c r="FP23" s="223">
        <v>2.9</v>
      </c>
      <c r="FQ23" s="223">
        <v>5.3</v>
      </c>
      <c r="FR23" s="223">
        <v>5.3</v>
      </c>
      <c r="FS23" s="223">
        <v>5.2</v>
      </c>
      <c r="FT23" s="223">
        <v>5.3</v>
      </c>
      <c r="FU23" s="223">
        <v>5.4</v>
      </c>
      <c r="FV23" s="223">
        <v>5.3</v>
      </c>
      <c r="FW23" s="223">
        <v>4.8</v>
      </c>
      <c r="FX23" s="223">
        <v>4.3</v>
      </c>
      <c r="FY23" s="223">
        <v>4.0999999999999996</v>
      </c>
      <c r="FZ23" s="223">
        <v>3.5</v>
      </c>
      <c r="GA23" s="223">
        <v>3.4</v>
      </c>
      <c r="GB23" s="223">
        <v>3.5</v>
      </c>
      <c r="GC23" s="223">
        <v>3.2</v>
      </c>
      <c r="GD23" s="223">
        <v>3.1</v>
      </c>
      <c r="GE23" s="223" t="s">
        <v>3468</v>
      </c>
      <c r="GF23" s="223" t="s">
        <v>3468</v>
      </c>
      <c r="GG23" s="223">
        <v>668.3556796874999</v>
      </c>
      <c r="GH23" s="223">
        <v>799.21450000000004</v>
      </c>
      <c r="GI23" s="223">
        <v>818.31325000000004</v>
      </c>
      <c r="GJ23" s="223">
        <v>864.51743750000003</v>
      </c>
      <c r="GK23" s="223">
        <v>1017.3485390625001</v>
      </c>
      <c r="GL23" s="223">
        <v>1116.4365625</v>
      </c>
      <c r="GM23" s="223">
        <v>1213.5230078125001</v>
      </c>
      <c r="GN23" s="223">
        <v>1263.2852031250002</v>
      </c>
      <c r="GO23" s="223">
        <v>1446.8729843750002</v>
      </c>
      <c r="GP23" s="223">
        <v>1580.1072421875001</v>
      </c>
      <c r="GQ23" s="223">
        <v>2058.5071250000001</v>
      </c>
      <c r="GR23" s="223">
        <v>2169.11659375</v>
      </c>
      <c r="GS23" s="223">
        <v>2553.2398437500001</v>
      </c>
      <c r="GT23" s="223">
        <v>2650.5525468749997</v>
      </c>
      <c r="GU23" s="223">
        <v>2681.9029687500001</v>
      </c>
      <c r="GV23" s="223">
        <v>2858.9209375</v>
      </c>
      <c r="GW23" s="223">
        <v>2931.0364687500005</v>
      </c>
      <c r="GX23" s="223">
        <v>3676.3669687500001</v>
      </c>
      <c r="GY23" s="223">
        <v>3855.6885937500001</v>
      </c>
      <c r="GZ23" s="223">
        <v>4873.5172968750003</v>
      </c>
      <c r="HA23" s="223">
        <v>4281.0834687500001</v>
      </c>
      <c r="HB23" s="223">
        <v>5615.6212500000001</v>
      </c>
      <c r="HC23" s="223">
        <v>7324.3974375000007</v>
      </c>
      <c r="HD23" s="223">
        <v>8785.4127187500017</v>
      </c>
      <c r="HE23" s="223">
        <v>10245.695062500001</v>
      </c>
      <c r="HF23" s="223">
        <v>11736.455499999998</v>
      </c>
      <c r="HG23" s="223">
        <v>15055.412749999998</v>
      </c>
      <c r="HH23" s="223">
        <v>16246.010249999999</v>
      </c>
      <c r="HI23" s="223">
        <v>29941.015062499999</v>
      </c>
      <c r="HJ23" s="223">
        <v>28136.567124999998</v>
      </c>
      <c r="HK23" s="223">
        <v>27342.890250000004</v>
      </c>
      <c r="HL23" s="223">
        <v>26029.222531249998</v>
      </c>
      <c r="HM23" s="223">
        <v>24512.203125000004</v>
      </c>
      <c r="HN23" s="223">
        <v>25400.42225</v>
      </c>
      <c r="HO23" s="223">
        <v>24830.829000000002</v>
      </c>
      <c r="HP23" s="223">
        <v>23935.966124999999</v>
      </c>
      <c r="HQ23" s="223">
        <v>24858.735624999998</v>
      </c>
      <c r="HR23" s="223">
        <v>23111.127812500003</v>
      </c>
      <c r="HS23" s="223">
        <v>23566.923625000003</v>
      </c>
      <c r="HT23" s="223">
        <v>24242.117812500001</v>
      </c>
      <c r="HU23" s="223">
        <v>24405.876</v>
      </c>
      <c r="HV23" s="223">
        <v>26116.591312500001</v>
      </c>
      <c r="HW23" s="223" t="e">
        <v>#VALUE!</v>
      </c>
      <c r="HX23" s="223" t="e">
        <v>#VALUE!</v>
      </c>
      <c r="HY23" s="224">
        <v>4323.9676501746771</v>
      </c>
      <c r="HZ23" s="224">
        <v>4888.2218742736914</v>
      </c>
      <c r="IA23" s="224">
        <v>4745.8808416364118</v>
      </c>
      <c r="IB23" s="224">
        <v>4767.016098349085</v>
      </c>
      <c r="IC23" s="224">
        <v>5346.5306180432208</v>
      </c>
      <c r="ID23" s="224">
        <v>5604.3198760102405</v>
      </c>
      <c r="IE23" s="224">
        <v>5830.3769989742386</v>
      </c>
      <c r="IF23" s="224">
        <v>5819.8207140915674</v>
      </c>
      <c r="IG23" s="224">
        <v>6402.2628227961814</v>
      </c>
      <c r="IH23" s="224">
        <v>6726.0930955274516</v>
      </c>
      <c r="II23" s="224">
        <v>8441.6941767480002</v>
      </c>
      <c r="IJ23" s="224">
        <v>8439.1484075007975</v>
      </c>
      <c r="IK23" s="224">
        <v>9449.0753368067981</v>
      </c>
      <c r="IL23" s="224">
        <v>9352.9936745128143</v>
      </c>
      <c r="IM23" s="224">
        <v>9043.0357481910996</v>
      </c>
      <c r="IN23" s="224">
        <v>9229.7284425159596</v>
      </c>
      <c r="IO23" s="224">
        <v>9076.3372358001234</v>
      </c>
      <c r="IP23" s="224">
        <v>10937.925314071734</v>
      </c>
      <c r="IQ23" s="224">
        <v>11038.576912171353</v>
      </c>
      <c r="IR23" s="224">
        <v>13445.20748232038</v>
      </c>
      <c r="IS23" s="224">
        <v>11396.385882115113</v>
      </c>
      <c r="IT23" s="224">
        <v>14442.244485421763</v>
      </c>
      <c r="IU23" s="224">
        <v>18374.034907517696</v>
      </c>
      <c r="IV23" s="224">
        <v>21510.6150418611</v>
      </c>
      <c r="IW23" s="224">
        <v>24498.525794516147</v>
      </c>
      <c r="IX23" s="224">
        <v>27420.894630376661</v>
      </c>
      <c r="IY23" s="224">
        <v>34388.319826589854</v>
      </c>
      <c r="IZ23" s="224">
        <v>36295.774067326987</v>
      </c>
      <c r="JA23" s="224">
        <v>65459.836619404836</v>
      </c>
      <c r="JB23" s="224">
        <v>60225.131466911298</v>
      </c>
      <c r="JC23" s="224">
        <v>57324.495832568115</v>
      </c>
      <c r="JD23" s="224">
        <v>53472.361238364836</v>
      </c>
      <c r="JE23" s="224">
        <v>49469.921479461314</v>
      </c>
      <c r="JF23" s="224">
        <v>50376.151378373703</v>
      </c>
      <c r="JG23" s="224">
        <v>48409.466781969502</v>
      </c>
      <c r="JH23" s="224">
        <v>45884.980447863811</v>
      </c>
      <c r="JI23" s="224">
        <v>46870.592695779887</v>
      </c>
      <c r="JJ23" s="224">
        <v>42870.815080040695</v>
      </c>
      <c r="JK23" s="224">
        <v>43020.582267313795</v>
      </c>
      <c r="JL23" s="224">
        <v>43559.887092178556</v>
      </c>
      <c r="JM23" s="224">
        <v>43177.746876559067</v>
      </c>
      <c r="JN23" s="224">
        <v>45505.94740780881</v>
      </c>
      <c r="JO23" s="224"/>
      <c r="JP23" s="224"/>
    </row>
    <row r="24" spans="1:276" s="225" customFormat="1" ht="14" customHeight="1">
      <c r="A24" s="217" t="s">
        <v>622</v>
      </c>
      <c r="B24" s="217" t="s">
        <v>925</v>
      </c>
      <c r="C24" s="217">
        <v>16</v>
      </c>
      <c r="D24" s="217" t="s">
        <v>541</v>
      </c>
      <c r="E24" s="218">
        <v>263.10899339978931</v>
      </c>
      <c r="F24" s="218">
        <v>251.77064655359632</v>
      </c>
      <c r="G24" s="218">
        <v>259.43178610270837</v>
      </c>
      <c r="H24" s="218">
        <v>249.60111215380769</v>
      </c>
      <c r="I24" s="218">
        <v>278.66764735738388</v>
      </c>
      <c r="J24" s="218">
        <v>298.13899119979533</v>
      </c>
      <c r="K24" s="218">
        <v>363.42655534342617</v>
      </c>
      <c r="L24" s="218">
        <v>355.57230047455067</v>
      </c>
      <c r="M24" s="218">
        <v>354.00462176643026</v>
      </c>
      <c r="N24" s="218">
        <v>363.94299509918233</v>
      </c>
      <c r="O24" s="218">
        <v>381.84294105914057</v>
      </c>
      <c r="P24" s="218">
        <v>381.34064216871877</v>
      </c>
      <c r="Q24" s="218">
        <v>345.36112927810819</v>
      </c>
      <c r="R24" s="218">
        <v>392.54377814691543</v>
      </c>
      <c r="S24" s="218">
        <v>382.71199777453415</v>
      </c>
      <c r="T24" s="218">
        <v>397.34079234067963</v>
      </c>
      <c r="U24" s="218">
        <v>398.19362536236918</v>
      </c>
      <c r="V24" s="218">
        <v>374.34563986647186</v>
      </c>
      <c r="W24" s="218">
        <v>388.58353605385508</v>
      </c>
      <c r="X24" s="218">
        <v>400.21618223213864</v>
      </c>
      <c r="Y24" s="218">
        <v>384.61400815625865</v>
      </c>
      <c r="Z24" s="218">
        <v>408.58576545139567</v>
      </c>
      <c r="AA24" s="218">
        <v>409.80607026072715</v>
      </c>
      <c r="AB24" s="218">
        <v>369.41389775299723</v>
      </c>
      <c r="AC24" s="218">
        <v>367.75240705677373</v>
      </c>
      <c r="AD24" s="218">
        <v>346.38721772647864</v>
      </c>
      <c r="AE24" s="218">
        <v>407.9941918248154</v>
      </c>
      <c r="AF24" s="218">
        <v>355.83672446884367</v>
      </c>
      <c r="AG24" s="218">
        <v>362.20465437906017</v>
      </c>
      <c r="AH24" s="218">
        <v>337.73621943394124</v>
      </c>
      <c r="AI24" s="218">
        <v>347.01346668801006</v>
      </c>
      <c r="AJ24" s="218">
        <v>360.41430524234335</v>
      </c>
      <c r="AK24" s="218">
        <v>366.30177606631645</v>
      </c>
      <c r="AL24" s="218">
        <v>389.17403801484295</v>
      </c>
      <c r="AM24" s="218">
        <v>370.45935192653735</v>
      </c>
      <c r="AN24" s="218">
        <v>370.37572673554149</v>
      </c>
      <c r="AO24" s="218">
        <v>375.55960612562092</v>
      </c>
      <c r="AP24" s="218">
        <v>385.50426753443719</v>
      </c>
      <c r="AQ24" s="218">
        <v>373.48376593554366</v>
      </c>
      <c r="AR24" s="218">
        <v>351.91594504949865</v>
      </c>
      <c r="AS24" s="218">
        <v>325.83340174418493</v>
      </c>
      <c r="AT24" s="218">
        <v>11501.949783711016</v>
      </c>
      <c r="AU24" s="218">
        <v>12011.069510583</v>
      </c>
      <c r="AV24" s="218">
        <v>11906.026393497752</v>
      </c>
      <c r="AW24" s="218">
        <v>10723.502686666701</v>
      </c>
      <c r="AX24" s="218">
        <v>12185.098116517429</v>
      </c>
      <c r="AY24" s="218">
        <v>11905.146150859333</v>
      </c>
      <c r="AZ24" s="218">
        <v>12676.514487265267</v>
      </c>
      <c r="BA24" s="218">
        <v>12811.508829817947</v>
      </c>
      <c r="BB24" s="218">
        <v>12260.559423369421</v>
      </c>
      <c r="BC24" s="218">
        <v>12683.754176502274</v>
      </c>
      <c r="BD24" s="218">
        <v>13154.568522241994</v>
      </c>
      <c r="BE24" s="218">
        <v>12632.488072705328</v>
      </c>
      <c r="BF24" s="218">
        <v>13467.479341484512</v>
      </c>
      <c r="BG24" s="218">
        <v>13467.448011591787</v>
      </c>
      <c r="BH24" s="218">
        <v>12131.819582501654</v>
      </c>
      <c r="BI24" s="218">
        <v>12227.442766780356</v>
      </c>
      <c r="BJ24" s="218">
        <v>11344.996377986756</v>
      </c>
      <c r="BK24" s="218">
        <v>13290.249960402489</v>
      </c>
      <c r="BL24" s="218">
        <v>11630.590262951762</v>
      </c>
      <c r="BM24" s="218">
        <v>12027.155255143705</v>
      </c>
      <c r="BN24" s="218">
        <v>11146.972998535914</v>
      </c>
      <c r="BO24" s="218">
        <v>11264.896045710808</v>
      </c>
      <c r="BP24" s="218">
        <v>11624.444360463467</v>
      </c>
      <c r="BQ24" s="218">
        <v>11866.118191479416</v>
      </c>
      <c r="BR24" s="218">
        <v>12235.892906671093</v>
      </c>
      <c r="BS24" s="218">
        <v>12039.958307323157</v>
      </c>
      <c r="BT24" s="218">
        <v>12416.842231505359</v>
      </c>
      <c r="BU24" s="218">
        <v>13191.191668517755</v>
      </c>
      <c r="BV24" s="218">
        <v>10759.637543691999</v>
      </c>
      <c r="BW24" s="218">
        <v>11018.386049822268</v>
      </c>
      <c r="BX24" s="218">
        <v>10773.921775880413</v>
      </c>
      <c r="BY24" s="218">
        <v>10464.11707779773</v>
      </c>
      <c r="BZ24" s="218">
        <v>9441.9750425665552</v>
      </c>
      <c r="CA24" s="218">
        <v>9788.9439231037977</v>
      </c>
      <c r="CB24" s="218">
        <v>10305.851493015651</v>
      </c>
      <c r="CC24" s="218">
        <v>11327.183149480374</v>
      </c>
      <c r="CD24" s="219">
        <v>4985.5236710460513</v>
      </c>
      <c r="CE24" s="219">
        <v>6082.3055915718705</v>
      </c>
      <c r="CF24" s="219">
        <v>5926.8556972145007</v>
      </c>
      <c r="CG24" s="219">
        <v>6219.7869731067449</v>
      </c>
      <c r="CH24" s="219">
        <v>6010.0153860178716</v>
      </c>
      <c r="CI24" s="219">
        <v>5412.1460838209505</v>
      </c>
      <c r="CJ24" s="219">
        <v>5168.3817436094778</v>
      </c>
      <c r="CK24" s="219">
        <v>5243.8538313323907</v>
      </c>
      <c r="CL24" s="219">
        <v>5722.954759732469</v>
      </c>
      <c r="CM24" s="219">
        <v>5614.8306761326803</v>
      </c>
      <c r="CN24" s="219">
        <v>6093.6435985181961</v>
      </c>
      <c r="CO24" s="219">
        <v>5949.7554818754952</v>
      </c>
      <c r="CP24" s="219">
        <v>6076.9612019990454</v>
      </c>
      <c r="CQ24" s="219">
        <v>5861.7524827731368</v>
      </c>
      <c r="CR24" s="219">
        <v>5423.2933725261209</v>
      </c>
      <c r="CS24" s="219">
        <v>6191.7850642357116</v>
      </c>
      <c r="CT24" s="219">
        <v>6402.6407476521199</v>
      </c>
      <c r="CU24" s="219">
        <v>6678.6208152835461</v>
      </c>
      <c r="CV24" s="219">
        <v>6709.1201697910747</v>
      </c>
      <c r="CW24" s="219">
        <v>6078.3488989397038</v>
      </c>
      <c r="CX24" s="219">
        <v>6359.7290181984035</v>
      </c>
      <c r="CY24" s="219">
        <v>6575.7497298393619</v>
      </c>
      <c r="CZ24" s="219">
        <v>6493.859173493669</v>
      </c>
      <c r="DA24" s="219">
        <v>6146.3468497559652</v>
      </c>
      <c r="DB24" s="219">
        <v>5915.9386695648709</v>
      </c>
      <c r="DC24" s="219">
        <v>5539.4511298874959</v>
      </c>
      <c r="DD24" s="219">
        <v>5039.8031381149603</v>
      </c>
      <c r="DE24" s="219">
        <v>5700.0084197513261</v>
      </c>
      <c r="DF24" s="219">
        <v>6296.2810251382734</v>
      </c>
      <c r="DG24" s="219">
        <v>9742.6052566241488</v>
      </c>
      <c r="DH24" s="219">
        <v>10137.397153471127</v>
      </c>
      <c r="DI24" s="219">
        <v>10290.781464898635</v>
      </c>
      <c r="DJ24" s="219">
        <v>10279.493669553527</v>
      </c>
      <c r="DK24" s="219">
        <v>10630.126948151657</v>
      </c>
      <c r="DL24" s="219">
        <v>10759.637543691999</v>
      </c>
      <c r="DM24" s="219">
        <v>11018.386049822268</v>
      </c>
      <c r="DN24" s="219">
        <v>10773.921775880413</v>
      </c>
      <c r="DO24" s="219">
        <v>10464.11707779773</v>
      </c>
      <c r="DP24" s="219">
        <v>9441.9750425665552</v>
      </c>
      <c r="DQ24" s="219">
        <v>9788.9439231037977</v>
      </c>
      <c r="DR24" s="219">
        <v>10305.851493015651</v>
      </c>
      <c r="DS24" s="219">
        <v>11327.183149480374</v>
      </c>
      <c r="DT24" s="220">
        <v>1.3175801870167947</v>
      </c>
      <c r="DU24" s="220">
        <v>1.3192411304983607</v>
      </c>
      <c r="DV24" s="220">
        <v>1.3615399655319291</v>
      </c>
      <c r="DW24" s="220">
        <v>1.3132619264699006</v>
      </c>
      <c r="DX24" s="220">
        <v>1.2870230396432019</v>
      </c>
      <c r="DY24" s="220">
        <v>1.2667672126665093</v>
      </c>
      <c r="DZ24" s="220">
        <v>1.3386857614627306</v>
      </c>
      <c r="EA24" s="220">
        <v>1.3289486947021618</v>
      </c>
      <c r="EB24" s="220">
        <v>1.3382415005865511</v>
      </c>
      <c r="EC24" s="220">
        <v>1.287130283539121</v>
      </c>
      <c r="ED24" s="220">
        <v>1.2536698036431462</v>
      </c>
      <c r="EE24" s="220">
        <v>1.2421761170837446</v>
      </c>
      <c r="EF24" s="220">
        <v>1.2643895877379316</v>
      </c>
      <c r="EG24" s="221">
        <v>4955</v>
      </c>
      <c r="EH24" s="221">
        <v>7430</v>
      </c>
      <c r="EI24" s="221">
        <v>7630</v>
      </c>
      <c r="EJ24" s="221">
        <v>10785.62</v>
      </c>
      <c r="EK24" s="221">
        <v>11429.63</v>
      </c>
      <c r="EL24" s="221">
        <v>9607.33</v>
      </c>
      <c r="EM24" s="221">
        <v>9447</v>
      </c>
      <c r="EN24" s="221">
        <v>7292</v>
      </c>
      <c r="EO24" s="222">
        <v>1.2</v>
      </c>
      <c r="EP24" s="222">
        <v>1.2</v>
      </c>
      <c r="EQ24" s="222">
        <v>1.3</v>
      </c>
      <c r="ER24" s="222">
        <v>1.2</v>
      </c>
      <c r="ES24" s="222">
        <v>1.3</v>
      </c>
      <c r="ET24" s="222">
        <v>1.3</v>
      </c>
      <c r="EU24" s="222">
        <v>1.4</v>
      </c>
      <c r="EV24" s="222">
        <v>1.4</v>
      </c>
      <c r="EW24" s="222">
        <v>1.4</v>
      </c>
      <c r="EX24" s="222">
        <v>1.4</v>
      </c>
      <c r="EY24" s="222">
        <v>1.5</v>
      </c>
      <c r="EZ24" s="222">
        <v>1.6</v>
      </c>
      <c r="FA24" s="222">
        <v>1.7</v>
      </c>
      <c r="FB24" s="222">
        <v>1.7</v>
      </c>
      <c r="FC24" s="222">
        <v>1.6</v>
      </c>
      <c r="FD24" s="223">
        <v>1.7</v>
      </c>
      <c r="FE24" s="223">
        <v>1.5</v>
      </c>
      <c r="FF24" s="223">
        <v>1.8</v>
      </c>
      <c r="FG24" s="223">
        <v>1.7</v>
      </c>
      <c r="FH24" s="223">
        <v>1.9</v>
      </c>
      <c r="FI24" s="223">
        <v>1.8</v>
      </c>
      <c r="FJ24" s="223">
        <v>1.7</v>
      </c>
      <c r="FK24" s="223">
        <v>1.7</v>
      </c>
      <c r="FL24" s="223">
        <v>1.6</v>
      </c>
      <c r="FM24" s="223">
        <v>1.6</v>
      </c>
      <c r="FN24" s="223">
        <v>1.6</v>
      </c>
      <c r="FO24" s="223">
        <v>1.6</v>
      </c>
      <c r="FP24" s="223">
        <v>1.6</v>
      </c>
      <c r="FQ24" s="223">
        <v>1.2</v>
      </c>
      <c r="FR24" s="223">
        <v>1.2</v>
      </c>
      <c r="FS24" s="223">
        <v>1.2</v>
      </c>
      <c r="FT24" s="223">
        <v>1.3</v>
      </c>
      <c r="FU24" s="223">
        <v>1.3</v>
      </c>
      <c r="FV24" s="223">
        <v>1.3</v>
      </c>
      <c r="FW24" s="223">
        <v>1.3</v>
      </c>
      <c r="FX24" s="223">
        <v>1.2</v>
      </c>
      <c r="FY24" s="223">
        <v>1.2</v>
      </c>
      <c r="FZ24" s="223">
        <v>1.1000000000000001</v>
      </c>
      <c r="GA24" s="223">
        <v>1.1000000000000001</v>
      </c>
      <c r="GB24" s="223" t="s">
        <v>3468</v>
      </c>
      <c r="GC24" s="223" t="s">
        <v>3468</v>
      </c>
      <c r="GD24" s="223" t="s">
        <v>3468</v>
      </c>
      <c r="GE24" s="223" t="s">
        <v>3468</v>
      </c>
      <c r="GF24" s="223" t="s">
        <v>3468</v>
      </c>
      <c r="GG24" s="223">
        <v>1145.75259375</v>
      </c>
      <c r="GH24" s="223">
        <v>1198.8217500000001</v>
      </c>
      <c r="GI24" s="223">
        <v>1329.7590312500001</v>
      </c>
      <c r="GJ24" s="223">
        <v>1296.77615625</v>
      </c>
      <c r="GK24" s="223">
        <v>1469.5034453125002</v>
      </c>
      <c r="GL24" s="223">
        <v>1451.3675312500002</v>
      </c>
      <c r="GM24" s="223">
        <v>1544.4838281249999</v>
      </c>
      <c r="GN24" s="223">
        <v>1607.8175312499998</v>
      </c>
      <c r="GO24" s="223">
        <v>1558.1709062499999</v>
      </c>
      <c r="GP24" s="223">
        <v>1701.6539531249998</v>
      </c>
      <c r="GQ24" s="223">
        <v>1929.8504296874999</v>
      </c>
      <c r="GR24" s="223">
        <v>2041.5215000000001</v>
      </c>
      <c r="GS24" s="223">
        <v>2170.2538671875</v>
      </c>
      <c r="GT24" s="223">
        <v>2371.5470156250003</v>
      </c>
      <c r="GU24" s="223">
        <v>2383.9137500000002</v>
      </c>
      <c r="GV24" s="223">
        <v>2430.082796875</v>
      </c>
      <c r="GW24" s="223">
        <v>2442.5303906250001</v>
      </c>
      <c r="GX24" s="223">
        <v>3151.1716875000002</v>
      </c>
      <c r="GY24" s="223">
        <v>3121.2717187500002</v>
      </c>
      <c r="GZ24" s="223">
        <v>3429.5121718749997</v>
      </c>
      <c r="HA24" s="223">
        <v>3502.7046562500004</v>
      </c>
      <c r="HB24" s="223">
        <v>3977.7317187500003</v>
      </c>
      <c r="HC24" s="223">
        <v>4789.0290937500004</v>
      </c>
      <c r="HD24" s="223">
        <v>5206.1705000000002</v>
      </c>
      <c r="HE24" s="223">
        <v>6071.5230000000001</v>
      </c>
      <c r="HF24" s="223">
        <v>6706.5460000000003</v>
      </c>
      <c r="HG24" s="223">
        <v>8603.0930000000008</v>
      </c>
      <c r="HH24" s="223">
        <v>8963.3160000000007</v>
      </c>
      <c r="HI24" s="223">
        <v>6779.0977499999999</v>
      </c>
      <c r="HJ24" s="223">
        <v>6370.5434999999998</v>
      </c>
      <c r="HK24" s="223">
        <v>6309.8977500000001</v>
      </c>
      <c r="HL24" s="223">
        <v>6384.5262812500005</v>
      </c>
      <c r="HM24" s="223">
        <v>5901.0859375000009</v>
      </c>
      <c r="HN24" s="223">
        <v>6230.2922500000004</v>
      </c>
      <c r="HO24" s="223">
        <v>6725.0161875000003</v>
      </c>
      <c r="HP24" s="223">
        <v>6679.8045000000002</v>
      </c>
      <c r="HQ24" s="223">
        <v>7275.7275</v>
      </c>
      <c r="HR24" s="223">
        <v>7263.4973125000006</v>
      </c>
      <c r="HS24" s="223">
        <v>7624.5929375000005</v>
      </c>
      <c r="HT24" s="223" t="e">
        <v>#VALUE!</v>
      </c>
      <c r="HU24" s="223" t="e">
        <v>#VALUE!</v>
      </c>
      <c r="HV24" s="223" t="e">
        <v>#VALUE!</v>
      </c>
      <c r="HW24" s="223" t="e">
        <v>#VALUE!</v>
      </c>
      <c r="HX24" s="223" t="e">
        <v>#VALUE!</v>
      </c>
      <c r="HY24" s="224">
        <v>4362.7441484338706</v>
      </c>
      <c r="HZ24" s="224">
        <v>4364.1889264901602</v>
      </c>
      <c r="IA24" s="224">
        <v>4637.048681967749</v>
      </c>
      <c r="IB24" s="224">
        <v>4339.3428366398794</v>
      </c>
      <c r="IC24" s="224">
        <v>4726.3862811049858</v>
      </c>
      <c r="ID24" s="224">
        <v>4493.5648731531828</v>
      </c>
      <c r="IE24" s="224">
        <v>4609.5573827259022</v>
      </c>
      <c r="IF24" s="224">
        <v>4631.6859730697952</v>
      </c>
      <c r="IG24" s="224">
        <v>4337.8004982355606</v>
      </c>
      <c r="IH24" s="224">
        <v>4583.1994359121181</v>
      </c>
      <c r="II24" s="224">
        <v>5034.1210204862864</v>
      </c>
      <c r="IJ24" s="224">
        <v>5173.9912698718836</v>
      </c>
      <c r="IK24" s="224">
        <v>5348.1712211839986</v>
      </c>
      <c r="IL24" s="224">
        <v>5686.9796780535507</v>
      </c>
      <c r="IM24" s="224">
        <v>5566.8578716455168</v>
      </c>
      <c r="IN24" s="224">
        <v>5529.788849305849</v>
      </c>
      <c r="IO24" s="224">
        <v>5419.7408728760738</v>
      </c>
      <c r="IP24" s="224">
        <v>6822.3019823239047</v>
      </c>
      <c r="IQ24" s="224">
        <v>6597.3133005032314</v>
      </c>
      <c r="IR24" s="224">
        <v>7080.9065326029413</v>
      </c>
      <c r="IS24" s="224">
        <v>7068.2862423287097</v>
      </c>
      <c r="IT24" s="224">
        <v>7849.1544890996356</v>
      </c>
      <c r="IU24" s="224">
        <v>9327.4446730467116</v>
      </c>
      <c r="IV24" s="224">
        <v>10010.010644180578</v>
      </c>
      <c r="IW24" s="224">
        <v>11526.196250046985</v>
      </c>
      <c r="IX24" s="224">
        <v>12572.711825260656</v>
      </c>
      <c r="IY24" s="224">
        <v>15929.205325848065</v>
      </c>
      <c r="IZ24" s="224">
        <v>16393.954624567352</v>
      </c>
      <c r="JA24" s="224">
        <v>12249.741781551891</v>
      </c>
      <c r="JB24" s="224">
        <v>11374.556840792644</v>
      </c>
      <c r="JC24" s="224">
        <v>11133.833940498838</v>
      </c>
      <c r="JD24" s="224">
        <v>11134.623454814666</v>
      </c>
      <c r="JE24" s="224">
        <v>10231.297180248057</v>
      </c>
      <c r="JF24" s="224">
        <v>10739.249851527786</v>
      </c>
      <c r="JG24" s="224">
        <v>11524.983692401549</v>
      </c>
      <c r="JH24" s="224">
        <v>11381.689059375376</v>
      </c>
      <c r="JI24" s="224">
        <v>12326.21436733386</v>
      </c>
      <c r="JJ24" s="224">
        <v>12235.552836374356</v>
      </c>
      <c r="JK24" s="224">
        <v>12771.239063760077</v>
      </c>
      <c r="JL24" s="224"/>
      <c r="JM24" s="224"/>
      <c r="JN24" s="224"/>
      <c r="JO24" s="224"/>
      <c r="JP24" s="224"/>
    </row>
    <row r="25" spans="1:276" s="225" customFormat="1" ht="14" customHeight="1">
      <c r="A25" s="217" t="s">
        <v>926</v>
      </c>
      <c r="B25" s="217" t="s">
        <v>927</v>
      </c>
      <c r="C25" s="217">
        <v>17</v>
      </c>
      <c r="D25" s="217" t="s">
        <v>664</v>
      </c>
      <c r="E25" s="218">
        <v>176.99739401599672</v>
      </c>
      <c r="F25" s="218">
        <v>170.55236507512728</v>
      </c>
      <c r="G25" s="218">
        <v>163.03165040942093</v>
      </c>
      <c r="H25" s="218">
        <v>176.07193789937782</v>
      </c>
      <c r="I25" s="218">
        <v>188.19378000567028</v>
      </c>
      <c r="J25" s="218">
        <v>185.45566617702687</v>
      </c>
      <c r="K25" s="218">
        <v>186.39030837264426</v>
      </c>
      <c r="L25" s="218">
        <v>190.34146991930959</v>
      </c>
      <c r="M25" s="218">
        <v>202.282813244224</v>
      </c>
      <c r="N25" s="218">
        <v>208.72282734078973</v>
      </c>
      <c r="O25" s="218">
        <v>196.76401597987106</v>
      </c>
      <c r="P25" s="218">
        <v>214.23246794387433</v>
      </c>
      <c r="Q25" s="218">
        <v>211.56377020012019</v>
      </c>
      <c r="R25" s="218">
        <v>221.97607576647519</v>
      </c>
      <c r="S25" s="218">
        <v>217.34756430989071</v>
      </c>
      <c r="T25" s="218">
        <v>224.99175421835963</v>
      </c>
      <c r="U25" s="218">
        <v>254.49586974825954</v>
      </c>
      <c r="V25" s="218">
        <v>240.04037268832553</v>
      </c>
      <c r="W25" s="218">
        <v>234.6069546418735</v>
      </c>
      <c r="X25" s="218">
        <v>240.66584212821209</v>
      </c>
      <c r="Y25" s="218">
        <v>218.13412134505703</v>
      </c>
      <c r="Z25" s="218">
        <v>224.4710987911254</v>
      </c>
      <c r="AA25" s="218">
        <v>222.84534832136563</v>
      </c>
      <c r="AB25" s="218">
        <v>218.3242086755553</v>
      </c>
      <c r="AC25" s="218">
        <v>217.80625554453758</v>
      </c>
      <c r="AD25" s="218">
        <v>224.01142367961759</v>
      </c>
      <c r="AE25" s="218">
        <v>220.47697079330342</v>
      </c>
      <c r="AF25" s="218">
        <v>211.75242635153396</v>
      </c>
      <c r="AG25" s="218">
        <v>184.26516250918203</v>
      </c>
      <c r="AH25" s="218">
        <v>189.88351593085815</v>
      </c>
      <c r="AI25" s="218">
        <v>214.51950518752511</v>
      </c>
      <c r="AJ25" s="218">
        <v>206.91927339968584</v>
      </c>
      <c r="AK25" s="218">
        <v>215.75839349393615</v>
      </c>
      <c r="AL25" s="218">
        <v>229.43566129000047</v>
      </c>
      <c r="AM25" s="218">
        <v>215.84081639655</v>
      </c>
      <c r="AN25" s="218">
        <v>213.82768028825075</v>
      </c>
      <c r="AO25" s="218">
        <v>217.83347798009768</v>
      </c>
      <c r="AP25" s="218">
        <v>219.68934197136338</v>
      </c>
      <c r="AQ25" s="218">
        <v>211.22828004811973</v>
      </c>
      <c r="AR25" s="218">
        <v>196.85598893982629</v>
      </c>
      <c r="AS25" s="218">
        <v>181.54717864266618</v>
      </c>
      <c r="AT25" s="218">
        <v>6596.4162275844883</v>
      </c>
      <c r="AU25" s="218">
        <v>6212.8463392590693</v>
      </c>
      <c r="AV25" s="218">
        <v>6732.3162755116191</v>
      </c>
      <c r="AW25" s="218">
        <v>6623.4691451696699</v>
      </c>
      <c r="AX25" s="218">
        <v>6953.5060968827102</v>
      </c>
      <c r="AY25" s="218">
        <v>6823.4924040558881</v>
      </c>
      <c r="AZ25" s="218">
        <v>7239.589884554618</v>
      </c>
      <c r="BA25" s="218">
        <v>8247.7542232901196</v>
      </c>
      <c r="BB25" s="218">
        <v>7904.0721082841992</v>
      </c>
      <c r="BC25" s="218">
        <v>7680.2829993212517</v>
      </c>
      <c r="BD25" s="218">
        <v>7910.3630782284054</v>
      </c>
      <c r="BE25" s="218">
        <v>7166.6276840634755</v>
      </c>
      <c r="BF25" s="218">
        <v>7402.6412316122733</v>
      </c>
      <c r="BG25" s="218">
        <v>7328.2492518535155</v>
      </c>
      <c r="BH25" s="218">
        <v>7175.3645699867948</v>
      </c>
      <c r="BI25" s="218">
        <v>7247.6052936431652</v>
      </c>
      <c r="BJ25" s="218">
        <v>7342.5742151858312</v>
      </c>
      <c r="BK25" s="218">
        <v>7187.0098642595594</v>
      </c>
      <c r="BL25" s="218">
        <v>6925.2497070329227</v>
      </c>
      <c r="BM25" s="218">
        <v>6121.2454709951789</v>
      </c>
      <c r="BN25" s="218">
        <v>6268.5705492191291</v>
      </c>
      <c r="BO25" s="218">
        <v>6963.8217466857941</v>
      </c>
      <c r="BP25" s="218">
        <v>6684.1717617856802</v>
      </c>
      <c r="BQ25" s="218">
        <v>7014.2094547114903</v>
      </c>
      <c r="BR25" s="218">
        <v>7256.6627785019655</v>
      </c>
      <c r="BS25" s="218">
        <v>7076.4138195372034</v>
      </c>
      <c r="BT25" s="218">
        <v>6215.0812864191876</v>
      </c>
      <c r="BU25" s="218">
        <v>6568.9272494348797</v>
      </c>
      <c r="BV25" s="218">
        <v>5993.4262321305141</v>
      </c>
      <c r="BW25" s="218">
        <v>6035.6488957318707</v>
      </c>
      <c r="BX25" s="218">
        <v>5961.6889060112098</v>
      </c>
      <c r="BY25" s="218">
        <v>5689.1847065468801</v>
      </c>
      <c r="BZ25" s="218">
        <v>5883.1092635341938</v>
      </c>
      <c r="CA25" s="218">
        <v>6098.7214320243693</v>
      </c>
      <c r="CB25" s="218">
        <v>6328.6882698098361</v>
      </c>
      <c r="CC25" s="218">
        <v>6679.857012958656</v>
      </c>
      <c r="CD25" s="219">
        <v>3324.7518324795628</v>
      </c>
      <c r="CE25" s="219">
        <v>3826.6695250125599</v>
      </c>
      <c r="CF25" s="219">
        <v>3950.0445055707423</v>
      </c>
      <c r="CG25" s="219">
        <v>4163.3823352264289</v>
      </c>
      <c r="CH25" s="219">
        <v>3709.335417154165</v>
      </c>
      <c r="CI25" s="219">
        <v>3474.0543039252921</v>
      </c>
      <c r="CJ25" s="219">
        <v>3273.0419755419962</v>
      </c>
      <c r="CK25" s="219">
        <v>3368.3338801379232</v>
      </c>
      <c r="CL25" s="219">
        <v>3272.4912132113709</v>
      </c>
      <c r="CM25" s="219">
        <v>3034.7677136905131</v>
      </c>
      <c r="CN25" s="219">
        <v>3194.8109217910842</v>
      </c>
      <c r="CO25" s="219">
        <v>3109.4763953407164</v>
      </c>
      <c r="CP25" s="219">
        <v>3223.7633157986415</v>
      </c>
      <c r="CQ25" s="219">
        <v>2954.4155969534654</v>
      </c>
      <c r="CR25" s="219">
        <v>3054.468269395119</v>
      </c>
      <c r="CS25" s="219">
        <v>3460.304113271281</v>
      </c>
      <c r="CT25" s="219">
        <v>3657.7535258036382</v>
      </c>
      <c r="CU25" s="219">
        <v>3699.2822354841996</v>
      </c>
      <c r="CV25" s="219">
        <v>3865.3336701902326</v>
      </c>
      <c r="CW25" s="219">
        <v>3678.493722067934</v>
      </c>
      <c r="CX25" s="219">
        <v>3801.8715649295141</v>
      </c>
      <c r="CY25" s="219">
        <v>3793.1879184622085</v>
      </c>
      <c r="CZ25" s="219">
        <v>4585.7740810700316</v>
      </c>
      <c r="DA25" s="219">
        <v>4510.0495492220625</v>
      </c>
      <c r="DB25" s="219">
        <v>4506.201221061111</v>
      </c>
      <c r="DC25" s="219">
        <v>4482.4867646357052</v>
      </c>
      <c r="DD25" s="219">
        <v>3711.5980994673419</v>
      </c>
      <c r="DE25" s="219">
        <v>4085.2996446311249</v>
      </c>
      <c r="DF25" s="219">
        <v>4510.4231541302916</v>
      </c>
      <c r="DG25" s="219">
        <v>5762.5445115513467</v>
      </c>
      <c r="DH25" s="219">
        <v>5761.7594036349201</v>
      </c>
      <c r="DI25" s="219">
        <v>5670.4573790355744</v>
      </c>
      <c r="DJ25" s="219">
        <v>5644.7634861740908</v>
      </c>
      <c r="DK25" s="219">
        <v>5874.1733628197426</v>
      </c>
      <c r="DL25" s="219">
        <v>5993.4262321305141</v>
      </c>
      <c r="DM25" s="219">
        <v>6035.6488957318707</v>
      </c>
      <c r="DN25" s="219">
        <v>5961.6889060112098</v>
      </c>
      <c r="DO25" s="219">
        <v>5689.1847065468801</v>
      </c>
      <c r="DP25" s="219">
        <v>5883.1092635341938</v>
      </c>
      <c r="DQ25" s="219">
        <v>6098.7214320243693</v>
      </c>
      <c r="DR25" s="219">
        <v>6328.6882698098361</v>
      </c>
      <c r="DS25" s="219">
        <v>6679.857012958656</v>
      </c>
      <c r="DT25" s="220">
        <v>1.3631524661227508</v>
      </c>
      <c r="DU25" s="220">
        <v>1.3259647887488009</v>
      </c>
      <c r="DV25" s="220">
        <v>1.3407939854809634</v>
      </c>
      <c r="DW25" s="220">
        <v>1.3019997815179172</v>
      </c>
      <c r="DX25" s="220">
        <v>1.2967401857478451</v>
      </c>
      <c r="DY25" s="220">
        <v>1.2988603658713269</v>
      </c>
      <c r="DZ25" s="220">
        <v>1.3622812019565675</v>
      </c>
      <c r="EA25" s="220">
        <v>1.3783224189536603</v>
      </c>
      <c r="EB25" s="220">
        <v>1.3755338953090106</v>
      </c>
      <c r="EC25" s="220">
        <v>1.5356442987555783</v>
      </c>
      <c r="ED25" s="220">
        <v>1.5143004545269139</v>
      </c>
      <c r="EE25" s="220">
        <v>1.4969701703180456</v>
      </c>
      <c r="EF25" s="220">
        <v>1.4807359937751472</v>
      </c>
      <c r="EG25" s="221">
        <v>3399</v>
      </c>
      <c r="EH25" s="221">
        <v>4705</v>
      </c>
      <c r="EI25" s="221">
        <v>4769</v>
      </c>
      <c r="EJ25" s="221">
        <v>5584.62</v>
      </c>
      <c r="EK25" s="221">
        <v>6570.35</v>
      </c>
      <c r="EL25" s="221">
        <v>5245.92</v>
      </c>
      <c r="EM25" s="221">
        <v>6524</v>
      </c>
      <c r="EN25" s="221">
        <v>4337</v>
      </c>
      <c r="EO25" s="222">
        <v>1.3</v>
      </c>
      <c r="EP25" s="222">
        <v>1.2</v>
      </c>
      <c r="EQ25" s="222">
        <v>1.3</v>
      </c>
      <c r="ER25" s="222">
        <v>1.3</v>
      </c>
      <c r="ES25" s="222">
        <v>1.3</v>
      </c>
      <c r="ET25" s="222">
        <v>1.4</v>
      </c>
      <c r="EU25" s="222">
        <v>1.5</v>
      </c>
      <c r="EV25" s="222">
        <v>1.6</v>
      </c>
      <c r="EW25" s="222">
        <v>1.6</v>
      </c>
      <c r="EX25" s="222">
        <v>1.5</v>
      </c>
      <c r="EY25" s="222">
        <v>1.5</v>
      </c>
      <c r="EZ25" s="222">
        <v>1.5</v>
      </c>
      <c r="FA25" s="222">
        <v>1.7</v>
      </c>
      <c r="FB25" s="222">
        <v>1.6</v>
      </c>
      <c r="FC25" s="222">
        <v>1.6</v>
      </c>
      <c r="FD25" s="223">
        <v>1.7</v>
      </c>
      <c r="FE25" s="223">
        <v>1.7</v>
      </c>
      <c r="FF25" s="223">
        <v>1.7</v>
      </c>
      <c r="FG25" s="223">
        <v>1.7</v>
      </c>
      <c r="FH25" s="223">
        <v>1.6</v>
      </c>
      <c r="FI25" s="223">
        <v>1.7</v>
      </c>
      <c r="FJ25" s="223">
        <v>1.8</v>
      </c>
      <c r="FK25" s="223">
        <v>1.6</v>
      </c>
      <c r="FL25" s="223">
        <v>1.7</v>
      </c>
      <c r="FM25" s="223">
        <v>1.7</v>
      </c>
      <c r="FN25" s="223">
        <v>1.7</v>
      </c>
      <c r="FO25" s="223">
        <v>1.4</v>
      </c>
      <c r="FP25" s="223">
        <v>1.5</v>
      </c>
      <c r="FQ25" s="223">
        <v>1</v>
      </c>
      <c r="FR25" s="223">
        <v>1</v>
      </c>
      <c r="FS25" s="223">
        <v>1.1000000000000001</v>
      </c>
      <c r="FT25" s="223">
        <v>1.1000000000000001</v>
      </c>
      <c r="FU25" s="223">
        <v>1.2</v>
      </c>
      <c r="FV25" s="223">
        <v>1.1000000000000001</v>
      </c>
      <c r="FW25" s="223">
        <v>1.1000000000000001</v>
      </c>
      <c r="FX25" s="223">
        <v>1.1000000000000001</v>
      </c>
      <c r="FY25" s="223">
        <v>1.1000000000000001</v>
      </c>
      <c r="FZ25" s="223">
        <v>0.9</v>
      </c>
      <c r="GA25" s="223">
        <v>1</v>
      </c>
      <c r="GB25" s="223">
        <v>1.1000000000000001</v>
      </c>
      <c r="GC25" s="223" t="s">
        <v>3468</v>
      </c>
      <c r="GD25" s="223" t="s">
        <v>3468</v>
      </c>
      <c r="GE25" s="223" t="s">
        <v>3468</v>
      </c>
      <c r="GF25" s="223" t="s">
        <v>3468</v>
      </c>
      <c r="GG25" s="223">
        <v>1241.2319765625002</v>
      </c>
      <c r="GH25" s="223">
        <v>1198.8217500000001</v>
      </c>
      <c r="GI25" s="223">
        <v>1329.7590312500001</v>
      </c>
      <c r="GJ25" s="223">
        <v>1404.8408359375001</v>
      </c>
      <c r="GK25" s="223">
        <v>1469.5034453125002</v>
      </c>
      <c r="GL25" s="223">
        <v>1563.0111874999998</v>
      </c>
      <c r="GM25" s="223">
        <v>1654.8041015624999</v>
      </c>
      <c r="GN25" s="223">
        <v>1837.50575</v>
      </c>
      <c r="GO25" s="223">
        <v>1780.76675</v>
      </c>
      <c r="GP25" s="223">
        <v>1823.2006640625</v>
      </c>
      <c r="GQ25" s="223">
        <v>1929.8504296874999</v>
      </c>
      <c r="GR25" s="223">
        <v>1913.9264062499999</v>
      </c>
      <c r="GS25" s="223">
        <v>2170.2538671875</v>
      </c>
      <c r="GT25" s="223">
        <v>2232.0442499999999</v>
      </c>
      <c r="GU25" s="223">
        <v>2383.9137500000002</v>
      </c>
      <c r="GV25" s="223">
        <v>2430.082796875</v>
      </c>
      <c r="GW25" s="223">
        <v>2768.2011093750002</v>
      </c>
      <c r="GX25" s="223">
        <v>2976.1065937500002</v>
      </c>
      <c r="GY25" s="223">
        <v>3121.2717187500002</v>
      </c>
      <c r="GZ25" s="223">
        <v>2888.0102500000003</v>
      </c>
      <c r="HA25" s="223">
        <v>3308.1099531250002</v>
      </c>
      <c r="HB25" s="223">
        <v>4211.7159375000001</v>
      </c>
      <c r="HC25" s="223">
        <v>4507.3215</v>
      </c>
      <c r="HD25" s="223">
        <v>5531.5561562500006</v>
      </c>
      <c r="HE25" s="223">
        <v>6450.9931875000002</v>
      </c>
      <c r="HF25" s="223">
        <v>7125.7051250000004</v>
      </c>
      <c r="HG25" s="223">
        <v>7527.7063749999988</v>
      </c>
      <c r="HH25" s="223">
        <v>8403.1087499999994</v>
      </c>
      <c r="HI25" s="223">
        <v>5649.2481250000001</v>
      </c>
      <c r="HJ25" s="223">
        <v>5308.7862500000001</v>
      </c>
      <c r="HK25" s="223">
        <v>5784.072937500001</v>
      </c>
      <c r="HL25" s="223">
        <v>5402.2914687500006</v>
      </c>
      <c r="HM25" s="223">
        <v>5447.15625</v>
      </c>
      <c r="HN25" s="223">
        <v>5271.7857500000009</v>
      </c>
      <c r="HO25" s="223">
        <v>5690.3983125000004</v>
      </c>
      <c r="HP25" s="223">
        <v>6123.1541250000009</v>
      </c>
      <c r="HQ25" s="223">
        <v>6669.4168750000008</v>
      </c>
      <c r="HR25" s="223">
        <v>5942.8614375000006</v>
      </c>
      <c r="HS25" s="223">
        <v>6931.4481249999999</v>
      </c>
      <c r="HT25" s="223">
        <v>7618.9513125000003</v>
      </c>
      <c r="HU25" s="223" t="e">
        <v>#VALUE!</v>
      </c>
      <c r="HV25" s="223" t="e">
        <v>#VALUE!</v>
      </c>
      <c r="HW25" s="223" t="e">
        <v>#VALUE!</v>
      </c>
      <c r="HX25" s="223" t="e">
        <v>#VALUE!</v>
      </c>
      <c r="HY25" s="224">
        <v>2434.7286629590258</v>
      </c>
      <c r="HZ25" s="224">
        <v>2282.9929631846453</v>
      </c>
      <c r="IA25" s="224">
        <v>2460.619313644072</v>
      </c>
      <c r="IB25" s="224">
        <v>2527.9511251871663</v>
      </c>
      <c r="IC25" s="224">
        <v>2573.4268952557295</v>
      </c>
      <c r="ID25" s="224">
        <v>2665.7238420258668</v>
      </c>
      <c r="IE25" s="224">
        <v>2750.4742039177045</v>
      </c>
      <c r="IF25" s="224">
        <v>2978.3710962591936</v>
      </c>
      <c r="IG25" s="224">
        <v>2816.5253632781373</v>
      </c>
      <c r="IH25" s="224">
        <v>2815.478678397154</v>
      </c>
      <c r="II25" s="224">
        <v>2911.3558159028162</v>
      </c>
      <c r="IJ25" s="224">
        <v>2809.0198103979615</v>
      </c>
      <c r="IK25" s="224">
        <v>3101.113358351532</v>
      </c>
      <c r="IL25" s="224">
        <v>3107.3515640485552</v>
      </c>
      <c r="IM25" s="224">
        <v>3235.5355301595737</v>
      </c>
      <c r="IN25" s="224">
        <v>3217.49628752638</v>
      </c>
      <c r="IO25" s="224">
        <v>3577.6352078232753</v>
      </c>
      <c r="IP25" s="224">
        <v>3756.6103513174567</v>
      </c>
      <c r="IQ25" s="224">
        <v>3850.036789566921</v>
      </c>
      <c r="IR25" s="224">
        <v>3482.9191341527539</v>
      </c>
      <c r="IS25" s="224">
        <v>3902.5791865747528</v>
      </c>
      <c r="IT25" s="224">
        <v>4862.5542340671909</v>
      </c>
      <c r="IU25" s="224">
        <v>5076.1497667074727</v>
      </c>
      <c r="IV25" s="224">
        <v>6080.4439082957679</v>
      </c>
      <c r="IW25" s="224">
        <v>6925.2554569589174</v>
      </c>
      <c r="IX25" s="224">
        <v>7474.7380166893072</v>
      </c>
      <c r="IY25" s="224">
        <v>7719.9881190819742</v>
      </c>
      <c r="IZ25" s="224">
        <v>8429.400048752057</v>
      </c>
      <c r="JA25" s="224">
        <v>5545.7151685189201</v>
      </c>
      <c r="JB25" s="224">
        <v>5102.360068700581</v>
      </c>
      <c r="JC25" s="224">
        <v>5445.140186585958</v>
      </c>
      <c r="JD25" s="224">
        <v>4983.5120044777241</v>
      </c>
      <c r="JE25" s="224">
        <v>4932.2438068477541</v>
      </c>
      <c r="JF25" s="224">
        <v>4687.0258438812016</v>
      </c>
      <c r="JG25" s="224">
        <v>4969.2346547632287</v>
      </c>
      <c r="JH25" s="224">
        <v>5253.7170206279789</v>
      </c>
      <c r="JI25" s="224">
        <v>5624.1462377201378</v>
      </c>
      <c r="JJ25" s="224">
        <v>4926.8539844736233</v>
      </c>
      <c r="JK25" s="224">
        <v>5651.0243378635887</v>
      </c>
      <c r="JL25" s="224">
        <v>6110.0852999502458</v>
      </c>
      <c r="JM25" s="224"/>
      <c r="JN25" s="224"/>
      <c r="JO25" s="224"/>
      <c r="JP25" s="224"/>
    </row>
    <row r="26" spans="1:276" s="225" customFormat="1" ht="14" customHeight="1">
      <c r="A26" s="217" t="s">
        <v>928</v>
      </c>
      <c r="B26" s="217" t="s">
        <v>929</v>
      </c>
      <c r="C26" s="217">
        <v>18</v>
      </c>
      <c r="D26" s="217" t="s">
        <v>713</v>
      </c>
      <c r="E26" s="218">
        <v>157.79881363703925</v>
      </c>
      <c r="F26" s="218">
        <v>158.35310356973562</v>
      </c>
      <c r="G26" s="218">
        <v>147.89884378400137</v>
      </c>
      <c r="H26" s="218">
        <v>156.37209441768971</v>
      </c>
      <c r="I26" s="218">
        <v>209.48496285972101</v>
      </c>
      <c r="J26" s="218">
        <v>225.8120276988225</v>
      </c>
      <c r="K26" s="218">
        <v>209.12934790065248</v>
      </c>
      <c r="L26" s="218">
        <v>187.01076224483094</v>
      </c>
      <c r="M26" s="218">
        <v>190.29928990871286</v>
      </c>
      <c r="N26" s="218">
        <v>171.1981715448542</v>
      </c>
      <c r="O26" s="218">
        <v>188.77662896902544</v>
      </c>
      <c r="P26" s="218">
        <v>183.48789760492542</v>
      </c>
      <c r="Q26" s="218">
        <v>200.89077903142652</v>
      </c>
      <c r="R26" s="218">
        <v>226.44055494406487</v>
      </c>
      <c r="S26" s="218">
        <v>203.05291382055526</v>
      </c>
      <c r="T26" s="218">
        <v>198.68097556061298</v>
      </c>
      <c r="U26" s="218">
        <v>194.8366330244618</v>
      </c>
      <c r="V26" s="218">
        <v>187.32666748787108</v>
      </c>
      <c r="W26" s="218">
        <v>208.50619096192156</v>
      </c>
      <c r="X26" s="218">
        <v>204.03837852822028</v>
      </c>
      <c r="Y26" s="218">
        <v>196.66913580115281</v>
      </c>
      <c r="Z26" s="218">
        <v>179.17726160833064</v>
      </c>
      <c r="AA26" s="218">
        <v>182.02089549574271</v>
      </c>
      <c r="AB26" s="218">
        <v>171.45267647453514</v>
      </c>
      <c r="AC26" s="218">
        <v>179.08342239540974</v>
      </c>
      <c r="AD26" s="218">
        <v>202.26117412917392</v>
      </c>
      <c r="AE26" s="218">
        <v>214.02177134632063</v>
      </c>
      <c r="AF26" s="218">
        <v>213.56512568873694</v>
      </c>
      <c r="AG26" s="218">
        <v>183.56810758815234</v>
      </c>
      <c r="AH26" s="218">
        <v>182.65466068756587</v>
      </c>
      <c r="AI26" s="218">
        <v>201.85860483828705</v>
      </c>
      <c r="AJ26" s="218">
        <v>222.72221663394731</v>
      </c>
      <c r="AK26" s="218">
        <v>232.89340823296683</v>
      </c>
      <c r="AL26" s="218">
        <v>248.0427679074576</v>
      </c>
      <c r="AM26" s="218">
        <v>232.99552532250573</v>
      </c>
      <c r="AN26" s="218">
        <v>232.54925765938256</v>
      </c>
      <c r="AO26" s="218">
        <v>237.17124257235884</v>
      </c>
      <c r="AP26" s="218">
        <v>239.6253065027399</v>
      </c>
      <c r="AQ26" s="218">
        <v>227.75073646423027</v>
      </c>
      <c r="AR26" s="218">
        <v>217.0219926338979</v>
      </c>
      <c r="AS26" s="218">
        <v>203.32941166618963</v>
      </c>
      <c r="AT26" s="218">
        <v>5410.4977941268817</v>
      </c>
      <c r="AU26" s="218">
        <v>5969.992284806689</v>
      </c>
      <c r="AV26" s="218">
        <v>5781.8511307841718</v>
      </c>
      <c r="AW26" s="218">
        <v>6311.2619442686855</v>
      </c>
      <c r="AX26" s="218">
        <v>7120.9748207918201</v>
      </c>
      <c r="AY26" s="218">
        <v>6399.9840047961343</v>
      </c>
      <c r="AZ26" s="218">
        <v>6416.7607816149739</v>
      </c>
      <c r="BA26" s="218">
        <v>6334.3997598752321</v>
      </c>
      <c r="BB26" s="218">
        <v>6182.9408229218716</v>
      </c>
      <c r="BC26" s="218">
        <v>6834.7391105913193</v>
      </c>
      <c r="BD26" s="218">
        <v>6706.4675309900213</v>
      </c>
      <c r="BE26" s="218">
        <v>6477.5764497502605</v>
      </c>
      <c r="BF26" s="218">
        <v>5935.0348766688876</v>
      </c>
      <c r="BG26" s="218">
        <v>6020.3267476608617</v>
      </c>
      <c r="BH26" s="218">
        <v>5672.1740053919548</v>
      </c>
      <c r="BI26" s="218">
        <v>6000.5303059459766</v>
      </c>
      <c r="BJ26" s="218">
        <v>6674.9087740823661</v>
      </c>
      <c r="BK26" s="218">
        <v>7020.221358532357</v>
      </c>
      <c r="BL26" s="218">
        <v>7021.2957340570183</v>
      </c>
      <c r="BM26" s="218">
        <v>6121.7271550385185</v>
      </c>
      <c r="BN26" s="218">
        <v>6042.678863989373</v>
      </c>
      <c r="BO26" s="218">
        <v>6552.8183131864853</v>
      </c>
      <c r="BP26" s="218">
        <v>7198.3123648984201</v>
      </c>
      <c r="BQ26" s="218">
        <v>7576.9595524783372</v>
      </c>
      <c r="BR26" s="218">
        <v>7851.0626110666262</v>
      </c>
      <c r="BS26" s="218">
        <v>7642.783728296311</v>
      </c>
      <c r="BT26" s="218">
        <v>7841.2010868175885</v>
      </c>
      <c r="BU26" s="218">
        <v>8296.1377117349803</v>
      </c>
      <c r="BV26" s="218">
        <v>7062.9269219356738</v>
      </c>
      <c r="BW26" s="218">
        <v>7130.6754637630065</v>
      </c>
      <c r="BX26" s="218">
        <v>6808.907948008391</v>
      </c>
      <c r="BY26" s="218">
        <v>6584.3472289510628</v>
      </c>
      <c r="BZ26" s="218">
        <v>5275.6043209052932</v>
      </c>
      <c r="CA26" s="218">
        <v>5520.6892811661228</v>
      </c>
      <c r="CB26" s="218">
        <v>5837.7799007949316</v>
      </c>
      <c r="CC26" s="218">
        <v>6299.4930191412841</v>
      </c>
      <c r="CD26" s="219">
        <v>4836.7492250662917</v>
      </c>
      <c r="CE26" s="219">
        <v>5099.2157817279567</v>
      </c>
      <c r="CF26" s="219">
        <v>4953.8738305549668</v>
      </c>
      <c r="CG26" s="219">
        <v>5342.4766976314186</v>
      </c>
      <c r="CH26" s="219">
        <v>5620.6165806728741</v>
      </c>
      <c r="CI26" s="219">
        <v>5515.2674586193916</v>
      </c>
      <c r="CJ26" s="219">
        <v>4560.438415157123</v>
      </c>
      <c r="CK26" s="219">
        <v>4462.3287164623425</v>
      </c>
      <c r="CL26" s="219">
        <v>4658.4950884715099</v>
      </c>
      <c r="CM26" s="219">
        <v>4289.1678049172378</v>
      </c>
      <c r="CN26" s="219">
        <v>4712.2371185434367</v>
      </c>
      <c r="CO26" s="219">
        <v>4671.4651883461056</v>
      </c>
      <c r="CP26" s="219">
        <v>4362.5407510474433</v>
      </c>
      <c r="CQ26" s="219">
        <v>4014.8747562600588</v>
      </c>
      <c r="CR26" s="219">
        <v>3872.8871082853429</v>
      </c>
      <c r="CS26" s="219">
        <v>4613.8321270417027</v>
      </c>
      <c r="CT26" s="219">
        <v>4897.7895322546137</v>
      </c>
      <c r="CU26" s="219">
        <v>5234.1764490512005</v>
      </c>
      <c r="CV26" s="219">
        <v>5852.5350858826669</v>
      </c>
      <c r="CW26" s="219">
        <v>5697.3626037429103</v>
      </c>
      <c r="CX26" s="219">
        <v>5755.7901072293007</v>
      </c>
      <c r="CY26" s="219">
        <v>6162.663611234766</v>
      </c>
      <c r="CZ26" s="219">
        <v>7095.0440690981313</v>
      </c>
      <c r="DA26" s="219">
        <v>6929.3982869228876</v>
      </c>
      <c r="DB26" s="219">
        <v>7217.6604262845322</v>
      </c>
      <c r="DC26" s="219">
        <v>7081.9697999515192</v>
      </c>
      <c r="DD26" s="219">
        <v>6071.2072147377557</v>
      </c>
      <c r="DE26" s="219">
        <v>6827.5250491683073</v>
      </c>
      <c r="DF26" s="219">
        <v>7571.0625154817862</v>
      </c>
      <c r="DG26" s="219">
        <v>7098.3561803106404</v>
      </c>
      <c r="DH26" s="219">
        <v>7176.9714178347476</v>
      </c>
      <c r="DI26" s="219">
        <v>6592.3408041397579</v>
      </c>
      <c r="DJ26" s="219">
        <v>6405.2166106832801</v>
      </c>
      <c r="DK26" s="219">
        <v>6710.4314527199567</v>
      </c>
      <c r="DL26" s="219">
        <v>7062.9269219356738</v>
      </c>
      <c r="DM26" s="219">
        <v>7130.6754637630065</v>
      </c>
      <c r="DN26" s="219">
        <v>6808.907948008391</v>
      </c>
      <c r="DO26" s="219">
        <v>6584.3472289510628</v>
      </c>
      <c r="DP26" s="219">
        <v>5275.6043209052932</v>
      </c>
      <c r="DQ26" s="219">
        <v>5520.6892811661228</v>
      </c>
      <c r="DR26" s="219">
        <v>5837.7799007949316</v>
      </c>
      <c r="DS26" s="219">
        <v>6299.4930191412841</v>
      </c>
      <c r="DT26" s="220">
        <v>1.0125016745389448</v>
      </c>
      <c r="DU26" s="220">
        <v>0.99021744673499323</v>
      </c>
      <c r="DV26" s="220">
        <v>0.92939724424738768</v>
      </c>
      <c r="DW26" s="220">
        <v>0.87622703754982756</v>
      </c>
      <c r="DX26" s="220">
        <v>0.87410441016802354</v>
      </c>
      <c r="DY26" s="220">
        <v>0.8987763664985956</v>
      </c>
      <c r="DZ26" s="220">
        <v>0.9406007831669998</v>
      </c>
      <c r="EA26" s="220">
        <v>0.91583655487420834</v>
      </c>
      <c r="EB26" s="220">
        <v>0.9221274696892946</v>
      </c>
      <c r="EC26" s="220">
        <v>0.79501553187882756</v>
      </c>
      <c r="ED26" s="220">
        <v>0.78885372347724925</v>
      </c>
      <c r="EE26" s="220">
        <v>0.79219570260489547</v>
      </c>
      <c r="EF26" s="220">
        <v>0.79872974636130256</v>
      </c>
      <c r="EG26" s="221">
        <v>4091</v>
      </c>
      <c r="EH26" s="221">
        <v>4210</v>
      </c>
      <c r="EI26" s="221">
        <v>4769</v>
      </c>
      <c r="EJ26" s="221">
        <v>4924.8100000000004</v>
      </c>
      <c r="EK26" s="221">
        <v>6076.69</v>
      </c>
      <c r="EL26" s="221">
        <v>6740.61</v>
      </c>
      <c r="EM26" s="221">
        <v>7216</v>
      </c>
      <c r="EN26" s="221">
        <v>5178</v>
      </c>
      <c r="EO26" s="222">
        <v>0.8</v>
      </c>
      <c r="EP26" s="222">
        <v>0.9</v>
      </c>
      <c r="EQ26" s="222">
        <v>0.9</v>
      </c>
      <c r="ER26" s="222">
        <v>0.9</v>
      </c>
      <c r="ES26" s="222">
        <v>1</v>
      </c>
      <c r="ET26" s="222">
        <v>0.9</v>
      </c>
      <c r="EU26" s="222">
        <v>0.9</v>
      </c>
      <c r="EV26" s="222">
        <v>0.9</v>
      </c>
      <c r="EW26" s="222">
        <v>0.9</v>
      </c>
      <c r="EX26" s="222">
        <v>0.9</v>
      </c>
      <c r="EY26" s="222">
        <v>0.9</v>
      </c>
      <c r="EZ26" s="222">
        <v>1</v>
      </c>
      <c r="FA26" s="222">
        <v>0.9</v>
      </c>
      <c r="FB26" s="222">
        <v>0.9</v>
      </c>
      <c r="FC26" s="222">
        <v>0.8</v>
      </c>
      <c r="FD26" s="223">
        <v>0.9</v>
      </c>
      <c r="FE26" s="223">
        <v>1</v>
      </c>
      <c r="FF26" s="223">
        <v>1.1000000000000001</v>
      </c>
      <c r="FG26" s="223">
        <v>1.1000000000000001</v>
      </c>
      <c r="FH26" s="223">
        <v>1</v>
      </c>
      <c r="FI26" s="223">
        <v>1</v>
      </c>
      <c r="FJ26" s="223">
        <v>1.1000000000000001</v>
      </c>
      <c r="FK26" s="223">
        <v>1.1000000000000001</v>
      </c>
      <c r="FL26" s="223">
        <v>1.1000000000000001</v>
      </c>
      <c r="FM26" s="223">
        <v>1.1000000000000001</v>
      </c>
      <c r="FN26" s="223">
        <v>1.1000000000000001</v>
      </c>
      <c r="FO26" s="223">
        <v>1.1000000000000001</v>
      </c>
      <c r="FP26" s="223">
        <v>1.1000000000000001</v>
      </c>
      <c r="FQ26" s="223">
        <v>1</v>
      </c>
      <c r="FR26" s="223">
        <v>0.9</v>
      </c>
      <c r="FS26" s="223">
        <v>0.9</v>
      </c>
      <c r="FT26" s="223">
        <v>0.9</v>
      </c>
      <c r="FU26" s="223">
        <v>0.9</v>
      </c>
      <c r="FV26" s="223">
        <v>0.9</v>
      </c>
      <c r="FW26" s="223">
        <v>1</v>
      </c>
      <c r="FX26" s="223">
        <v>1</v>
      </c>
      <c r="FY26" s="223">
        <v>1</v>
      </c>
      <c r="FZ26" s="223">
        <v>1</v>
      </c>
      <c r="GA26" s="223">
        <v>1</v>
      </c>
      <c r="GB26" s="223">
        <v>1.2</v>
      </c>
      <c r="GC26" s="223">
        <v>1.3</v>
      </c>
      <c r="GD26" s="223" t="s">
        <v>3468</v>
      </c>
      <c r="GE26" s="223" t="s">
        <v>3468</v>
      </c>
      <c r="GF26" s="223" t="s">
        <v>3468</v>
      </c>
      <c r="GG26" s="223">
        <v>763.83506250000005</v>
      </c>
      <c r="GH26" s="223">
        <v>899.11631250000005</v>
      </c>
      <c r="GI26" s="223">
        <v>920.60240625000006</v>
      </c>
      <c r="GJ26" s="223">
        <v>972.5821171875001</v>
      </c>
      <c r="GK26" s="223">
        <v>1130.3872656250001</v>
      </c>
      <c r="GL26" s="223">
        <v>1004.7929062500001</v>
      </c>
      <c r="GM26" s="223">
        <v>992.88246093750013</v>
      </c>
      <c r="GN26" s="223">
        <v>1033.5969843750001</v>
      </c>
      <c r="GO26" s="223">
        <v>1001.6812968750002</v>
      </c>
      <c r="GP26" s="223">
        <v>1093.9203984375001</v>
      </c>
      <c r="GQ26" s="223">
        <v>1157.9102578125</v>
      </c>
      <c r="GR26" s="223">
        <v>1275.9509375</v>
      </c>
      <c r="GS26" s="223">
        <v>1148.9579296875002</v>
      </c>
      <c r="GT26" s="223">
        <v>1255.5248906250001</v>
      </c>
      <c r="GU26" s="223">
        <v>1191.9568750000001</v>
      </c>
      <c r="GV26" s="223">
        <v>1286.5144218750002</v>
      </c>
      <c r="GW26" s="223">
        <v>1628.3535937500001</v>
      </c>
      <c r="GX26" s="223">
        <v>1925.7160312500002</v>
      </c>
      <c r="GY26" s="223">
        <v>2019.6464062500002</v>
      </c>
      <c r="GZ26" s="223">
        <v>1805.0064062500001</v>
      </c>
      <c r="HA26" s="223">
        <v>1945.94703125</v>
      </c>
      <c r="HB26" s="223">
        <v>2573.8264062500002</v>
      </c>
      <c r="HC26" s="223">
        <v>3098.7835312500001</v>
      </c>
      <c r="HD26" s="223">
        <v>3579.2422187500006</v>
      </c>
      <c r="HE26" s="223">
        <v>4174.1720625000007</v>
      </c>
      <c r="HF26" s="223">
        <v>4610.7503750000005</v>
      </c>
      <c r="HG26" s="223">
        <v>5914.626437500001</v>
      </c>
      <c r="HH26" s="223">
        <v>6162.2797500000006</v>
      </c>
      <c r="HI26" s="223">
        <v>5649.2481250000001</v>
      </c>
      <c r="HJ26" s="223">
        <v>4777.9076250000007</v>
      </c>
      <c r="HK26" s="223">
        <v>4732.423312500001</v>
      </c>
      <c r="HL26" s="223">
        <v>4420.0566562500007</v>
      </c>
      <c r="HM26" s="223">
        <v>4085.3671875000005</v>
      </c>
      <c r="HN26" s="223">
        <v>4313.2792500000005</v>
      </c>
      <c r="HO26" s="223">
        <v>5173.0893750000005</v>
      </c>
      <c r="HP26" s="223">
        <v>5566.5037499999999</v>
      </c>
      <c r="HQ26" s="223">
        <v>6063.1062499999998</v>
      </c>
      <c r="HR26" s="223">
        <v>6603.1793749999997</v>
      </c>
      <c r="HS26" s="223">
        <v>6931.4481249999999</v>
      </c>
      <c r="HT26" s="223">
        <v>8311.5832499999997</v>
      </c>
      <c r="HU26" s="223">
        <v>9914.8871250000011</v>
      </c>
      <c r="HV26" s="223" t="e">
        <v>#VALUE!</v>
      </c>
      <c r="HW26" s="223" t="e">
        <v>#VALUE!</v>
      </c>
      <c r="HX26" s="223" t="e">
        <v>#VALUE!</v>
      </c>
      <c r="HY26" s="224">
        <v>1987.6837508197063</v>
      </c>
      <c r="HZ26" s="224">
        <v>2291.0153682018645</v>
      </c>
      <c r="IA26" s="224">
        <v>2297.930435866791</v>
      </c>
      <c r="IB26" s="224">
        <v>2379.163654995602</v>
      </c>
      <c r="IC26" s="224">
        <v>2711.0156773130711</v>
      </c>
      <c r="ID26" s="224">
        <v>2363.4956513301818</v>
      </c>
      <c r="IE26" s="224">
        <v>2291.4477131217877</v>
      </c>
      <c r="IF26" s="224">
        <v>2341.2705968875689</v>
      </c>
      <c r="IG26" s="224">
        <v>2227.7525208634693</v>
      </c>
      <c r="IH26" s="224">
        <v>2389.4804499135885</v>
      </c>
      <c r="II26" s="224">
        <v>2484.9139393713408</v>
      </c>
      <c r="IJ26" s="224">
        <v>2705.122444888696</v>
      </c>
      <c r="IK26" s="224">
        <v>2406.7838885694509</v>
      </c>
      <c r="IL26" s="224">
        <v>2598.9642160772655</v>
      </c>
      <c r="IM26" s="224">
        <v>2438.5859695462786</v>
      </c>
      <c r="IN26" s="224">
        <v>2601.6799482472716</v>
      </c>
      <c r="IO26" s="224">
        <v>3255.4227929912531</v>
      </c>
      <c r="IP26" s="224">
        <v>3806.509013466316</v>
      </c>
      <c r="IQ26" s="224">
        <v>3947.6723893635312</v>
      </c>
      <c r="IR26" s="224">
        <v>3489.2302463536662</v>
      </c>
      <c r="IS26" s="224">
        <v>3720.6585654099922</v>
      </c>
      <c r="IT26" s="224">
        <v>4868.0790336003329</v>
      </c>
      <c r="IU26" s="224">
        <v>5753.0325393940375</v>
      </c>
      <c r="IV26" s="224">
        <v>6524.8604582843727</v>
      </c>
      <c r="IW26" s="224">
        <v>7474.2406500638181</v>
      </c>
      <c r="IX26" s="224">
        <v>8111.8885009734468</v>
      </c>
      <c r="IY26" s="224">
        <v>10227.361671168259</v>
      </c>
      <c r="IZ26" s="224">
        <v>10475.902183791548</v>
      </c>
      <c r="JA26" s="224">
        <v>9444.4773466213355</v>
      </c>
      <c r="JB26" s="224">
        <v>7857.4521184449131</v>
      </c>
      <c r="JC26" s="224">
        <v>7657.7271602664905</v>
      </c>
      <c r="JD26" s="224">
        <v>7039.2819646193038</v>
      </c>
      <c r="JE26" s="224">
        <v>6407.4631743960526</v>
      </c>
      <c r="JF26" s="224">
        <v>6663.7278691809997</v>
      </c>
      <c r="JG26" s="224">
        <v>7874.2916627730983</v>
      </c>
      <c r="JH26" s="224">
        <v>8350.0715917090311</v>
      </c>
      <c r="JI26" s="224">
        <v>8964.8011818485211</v>
      </c>
      <c r="JJ26" s="224">
        <v>9625.5463529915141</v>
      </c>
      <c r="JK26" s="224">
        <v>9963.4467131217971</v>
      </c>
      <c r="JL26" s="224">
        <v>11783.297483820865</v>
      </c>
      <c r="JM26" s="224">
        <v>13865.966566067926</v>
      </c>
      <c r="JN26" s="224"/>
      <c r="JO26" s="224"/>
      <c r="JP26" s="224"/>
    </row>
    <row r="27" spans="1:276" s="225" customFormat="1" ht="14" customHeight="1">
      <c r="A27" s="217" t="s">
        <v>841</v>
      </c>
      <c r="B27" s="217" t="s">
        <v>659</v>
      </c>
      <c r="C27" s="217">
        <v>19</v>
      </c>
      <c r="D27" s="217" t="s">
        <v>713</v>
      </c>
      <c r="E27" s="218">
        <v>156.49156451272063</v>
      </c>
      <c r="F27" s="218">
        <v>164.1375614739834</v>
      </c>
      <c r="G27" s="218">
        <v>171.41285161468679</v>
      </c>
      <c r="H27" s="218">
        <v>178.53691596981187</v>
      </c>
      <c r="I27" s="218">
        <v>202.03213329911037</v>
      </c>
      <c r="J27" s="218">
        <v>176.19375233055189</v>
      </c>
      <c r="K27" s="218">
        <v>193.90985779963285</v>
      </c>
      <c r="L27" s="218">
        <v>186.50063545280571</v>
      </c>
      <c r="M27" s="218">
        <v>216.3493873465822</v>
      </c>
      <c r="N27" s="218">
        <v>234.97965998689256</v>
      </c>
      <c r="O27" s="218">
        <v>233.64296034491133</v>
      </c>
      <c r="P27" s="218">
        <v>246.00638177130472</v>
      </c>
      <c r="Q27" s="218">
        <v>239.08762158516285</v>
      </c>
      <c r="R27" s="218">
        <v>275.976820979911</v>
      </c>
      <c r="S27" s="218">
        <v>257.49433169884264</v>
      </c>
      <c r="T27" s="218">
        <v>252.00458781220956</v>
      </c>
      <c r="U27" s="218">
        <v>286.17955786396925</v>
      </c>
      <c r="V27" s="218">
        <v>276.38180959547094</v>
      </c>
      <c r="W27" s="218">
        <v>277.16622012516859</v>
      </c>
      <c r="X27" s="218">
        <v>291.80639830479862</v>
      </c>
      <c r="Y27" s="218">
        <v>299.4171936203702</v>
      </c>
      <c r="Z27" s="218">
        <v>313.49282052078888</v>
      </c>
      <c r="AA27" s="218">
        <v>311.01601295539717</v>
      </c>
      <c r="AB27" s="218">
        <v>330.85790102898403</v>
      </c>
      <c r="AC27" s="218">
        <v>345.55740366698359</v>
      </c>
      <c r="AD27" s="218">
        <v>477.95965209494989</v>
      </c>
      <c r="AE27" s="218">
        <v>699.5736213006245</v>
      </c>
      <c r="AF27" s="218">
        <v>820.23649600667181</v>
      </c>
      <c r="AG27" s="218">
        <v>730.06526449775288</v>
      </c>
      <c r="AH27" s="218">
        <v>581.97788216151093</v>
      </c>
      <c r="AI27" s="218">
        <v>632.71677389919012</v>
      </c>
      <c r="AJ27" s="218">
        <v>676.04324567497792</v>
      </c>
      <c r="AK27" s="218">
        <v>681.44975392686581</v>
      </c>
      <c r="AL27" s="218">
        <v>710.61142804455767</v>
      </c>
      <c r="AM27" s="218">
        <v>655.08214349784612</v>
      </c>
      <c r="AN27" s="218">
        <v>615.94267153598719</v>
      </c>
      <c r="AO27" s="218">
        <v>621.61832120995575</v>
      </c>
      <c r="AP27" s="218">
        <v>628.40938698324226</v>
      </c>
      <c r="AQ27" s="218">
        <v>595.87887497433553</v>
      </c>
      <c r="AR27" s="218">
        <v>558.49015206167667</v>
      </c>
      <c r="AS27" s="218">
        <v>513.51035358762317</v>
      </c>
      <c r="AT27" s="218">
        <v>7426.2296177075068</v>
      </c>
      <c r="AU27" s="218">
        <v>7393.4539132214113</v>
      </c>
      <c r="AV27" s="218">
        <v>7760.2459367077236</v>
      </c>
      <c r="AW27" s="218">
        <v>7521.743750570191</v>
      </c>
      <c r="AX27" s="218">
        <v>8692.3511032089518</v>
      </c>
      <c r="AY27" s="218">
        <v>8128.9172901445618</v>
      </c>
      <c r="AZ27" s="218">
        <v>8151.2481809438841</v>
      </c>
      <c r="BA27" s="218">
        <v>9316.1800033081108</v>
      </c>
      <c r="BB27" s="218">
        <v>9131.1995992493175</v>
      </c>
      <c r="BC27" s="218">
        <v>9090.2805476375634</v>
      </c>
      <c r="BD27" s="218">
        <v>9591.2844910968815</v>
      </c>
      <c r="BE27" s="218">
        <v>9831.4901857406185</v>
      </c>
      <c r="BF27" s="218">
        <v>10328.058542685751</v>
      </c>
      <c r="BG27" s="218">
        <v>10214.444844629754</v>
      </c>
      <c r="BH27" s="218">
        <v>10857.806033786532</v>
      </c>
      <c r="BI27" s="218">
        <v>11480.864325922357</v>
      </c>
      <c r="BJ27" s="218">
        <v>15642.863562163262</v>
      </c>
      <c r="BK27" s="218">
        <v>22773.176406856175</v>
      </c>
      <c r="BL27" s="218">
        <v>26794.666833092382</v>
      </c>
      <c r="BM27" s="218">
        <v>24232.239903748963</v>
      </c>
      <c r="BN27" s="218">
        <v>19203.911901195923</v>
      </c>
      <c r="BO27" s="218">
        <v>20539.516095379695</v>
      </c>
      <c r="BP27" s="218">
        <v>21791.927974233367</v>
      </c>
      <c r="BQ27" s="218">
        <v>22065.039850608879</v>
      </c>
      <c r="BR27" s="218">
        <v>22348.875676216459</v>
      </c>
      <c r="BS27" s="218">
        <v>21325.790985848009</v>
      </c>
      <c r="BT27" s="218">
        <v>21806.466851014527</v>
      </c>
      <c r="BU27" s="218">
        <v>22833.850439597561</v>
      </c>
      <c r="BV27" s="218">
        <v>12190.334430793733</v>
      </c>
      <c r="BW27" s="218">
        <v>11520.89709885031</v>
      </c>
      <c r="BX27" s="218">
        <v>11057.469544957756</v>
      </c>
      <c r="BY27" s="218">
        <v>10660.807782442456</v>
      </c>
      <c r="BZ27" s="218">
        <v>10393.090965787298</v>
      </c>
      <c r="CA27" s="218">
        <v>11212.840707973182</v>
      </c>
      <c r="CB27" s="218">
        <v>11802.580046250992</v>
      </c>
      <c r="CC27" s="218">
        <v>12609.940504822227</v>
      </c>
      <c r="CD27" s="219">
        <v>3930.9921232357697</v>
      </c>
      <c r="CE27" s="219">
        <v>4522.6672703160693</v>
      </c>
      <c r="CF27" s="219">
        <v>4417.9651337878004</v>
      </c>
      <c r="CG27" s="219">
        <v>4355.4904767144035</v>
      </c>
      <c r="CH27" s="219">
        <v>4462.8235641298415</v>
      </c>
      <c r="CI27" s="219">
        <v>4055.926995003756</v>
      </c>
      <c r="CJ27" s="219">
        <v>3972.9543517774209</v>
      </c>
      <c r="CK27" s="219">
        <v>4109.7514379731647</v>
      </c>
      <c r="CL27" s="219">
        <v>4891.3342381042685</v>
      </c>
      <c r="CM27" s="219">
        <v>3828.3119308789665</v>
      </c>
      <c r="CN27" s="219">
        <v>4063.7867793604632</v>
      </c>
      <c r="CO27" s="219">
        <v>4053.2397169050969</v>
      </c>
      <c r="CP27" s="219">
        <v>4959.3894023503362</v>
      </c>
      <c r="CQ27" s="219">
        <v>4671.8806946268742</v>
      </c>
      <c r="CR27" s="219">
        <v>3653.5846456681993</v>
      </c>
      <c r="CS27" s="219">
        <v>3929.0367057681779</v>
      </c>
      <c r="CT27" s="219">
        <v>5367.1795935694026</v>
      </c>
      <c r="CU27" s="219">
        <v>5724.1820129302478</v>
      </c>
      <c r="CV27" s="219">
        <v>6568.0115648174533</v>
      </c>
      <c r="CW27" s="219">
        <v>6197.5937995546437</v>
      </c>
      <c r="CX27" s="219">
        <v>6482.6124436451801</v>
      </c>
      <c r="CY27" s="219">
        <v>6868.5726891227123</v>
      </c>
      <c r="CZ27" s="219">
        <v>7583.3635071437993</v>
      </c>
      <c r="DA27" s="219">
        <v>6658.4164410625654</v>
      </c>
      <c r="DB27" s="219">
        <v>6444.2975620982379</v>
      </c>
      <c r="DC27" s="219">
        <v>6072.7683159637081</v>
      </c>
      <c r="DD27" s="219">
        <v>5616.0624812896904</v>
      </c>
      <c r="DE27" s="219">
        <v>6254.8056011398157</v>
      </c>
      <c r="DF27" s="219">
        <v>7012.2835946077494</v>
      </c>
      <c r="DG27" s="219">
        <v>12038.081817236056</v>
      </c>
      <c r="DH27" s="219">
        <v>12304.087777211726</v>
      </c>
      <c r="DI27" s="219">
        <v>11741.183954034585</v>
      </c>
      <c r="DJ27" s="219">
        <v>11841.702011585547</v>
      </c>
      <c r="DK27" s="219">
        <v>12101.816806312121</v>
      </c>
      <c r="DL27" s="219">
        <v>12190.334430793733</v>
      </c>
      <c r="DM27" s="219">
        <v>11520.89709885031</v>
      </c>
      <c r="DN27" s="219">
        <v>11057.469544957756</v>
      </c>
      <c r="DO27" s="219">
        <v>10660.807782442456</v>
      </c>
      <c r="DP27" s="219">
        <v>10393.090965787298</v>
      </c>
      <c r="DQ27" s="219">
        <v>11212.840707973182</v>
      </c>
      <c r="DR27" s="219">
        <v>11802.580046250992</v>
      </c>
      <c r="DS27" s="219">
        <v>12609.940504822227</v>
      </c>
      <c r="DT27" s="220">
        <v>0.9507622884559922</v>
      </c>
      <c r="DU27" s="220">
        <v>0.94953765969432102</v>
      </c>
      <c r="DV27" s="220">
        <v>0.93486413415613534</v>
      </c>
      <c r="DW27" s="220">
        <v>0.92340227891877014</v>
      </c>
      <c r="DX27" s="220">
        <v>0.90657964501109478</v>
      </c>
      <c r="DY27" s="220">
        <v>0.89973334231085356</v>
      </c>
      <c r="DZ27" s="220">
        <v>0.88865061504226439</v>
      </c>
      <c r="EA27" s="220">
        <v>0.87652501193876908</v>
      </c>
      <c r="EB27" s="220">
        <v>0.88654718486177753</v>
      </c>
      <c r="EC27" s="220">
        <v>0.93877907425749629</v>
      </c>
      <c r="ED27" s="220">
        <v>0.96907509255243962</v>
      </c>
      <c r="EE27" s="220">
        <v>0.97717968160331392</v>
      </c>
      <c r="EF27" s="220">
        <v>0.98367889648071483</v>
      </c>
      <c r="EG27" s="221">
        <v>3399</v>
      </c>
      <c r="EH27" s="221">
        <v>5779</v>
      </c>
      <c r="EI27" s="221">
        <v>6936</v>
      </c>
      <c r="EJ27" s="221">
        <v>5864.25</v>
      </c>
      <c r="EK27" s="221">
        <v>7645.3</v>
      </c>
      <c r="EL27" s="221">
        <v>18621.95</v>
      </c>
      <c r="EM27" s="221">
        <v>7758</v>
      </c>
      <c r="EN27" s="221">
        <v>8465</v>
      </c>
      <c r="EO27" s="222">
        <v>0.5</v>
      </c>
      <c r="EP27" s="222">
        <v>0.5</v>
      </c>
      <c r="EQ27" s="222">
        <v>0.5</v>
      </c>
      <c r="ER27" s="222">
        <v>0.5</v>
      </c>
      <c r="ES27" s="222">
        <v>0.6</v>
      </c>
      <c r="ET27" s="222">
        <v>0.5</v>
      </c>
      <c r="EU27" s="222">
        <v>0.5</v>
      </c>
      <c r="EV27" s="222">
        <v>0.6</v>
      </c>
      <c r="EW27" s="222">
        <v>0.6</v>
      </c>
      <c r="EX27" s="222">
        <v>0.6</v>
      </c>
      <c r="EY27" s="222">
        <v>0.6</v>
      </c>
      <c r="EZ27" s="222">
        <v>0.7</v>
      </c>
      <c r="FA27" s="222">
        <v>0.8</v>
      </c>
      <c r="FB27" s="222">
        <v>0.7</v>
      </c>
      <c r="FC27" s="222">
        <v>0.8</v>
      </c>
      <c r="FD27" s="223">
        <v>0.9</v>
      </c>
      <c r="FE27" s="223">
        <v>1.2</v>
      </c>
      <c r="FF27" s="223">
        <v>1.8</v>
      </c>
      <c r="FG27" s="223">
        <v>2.2000000000000002</v>
      </c>
      <c r="FH27" s="223">
        <v>2.1</v>
      </c>
      <c r="FI27" s="223">
        <v>1.8</v>
      </c>
      <c r="FJ27" s="223">
        <v>1.8</v>
      </c>
      <c r="FK27" s="223">
        <v>1.8</v>
      </c>
      <c r="FL27" s="223">
        <v>1.7</v>
      </c>
      <c r="FM27" s="223">
        <v>1.7</v>
      </c>
      <c r="FN27" s="223">
        <v>1.7</v>
      </c>
      <c r="FO27" s="223">
        <v>1.7</v>
      </c>
      <c r="FP27" s="223">
        <v>1.7</v>
      </c>
      <c r="FQ27" s="223">
        <v>1.1000000000000001</v>
      </c>
      <c r="FR27" s="223">
        <v>1.1000000000000001</v>
      </c>
      <c r="FS27" s="223">
        <v>1.1000000000000001</v>
      </c>
      <c r="FT27" s="223">
        <v>1.1000000000000001</v>
      </c>
      <c r="FU27" s="223">
        <v>1.2</v>
      </c>
      <c r="FV27" s="223">
        <v>1.1000000000000001</v>
      </c>
      <c r="FW27" s="223">
        <v>1.1000000000000001</v>
      </c>
      <c r="FX27" s="223">
        <v>1.1000000000000001</v>
      </c>
      <c r="FY27" s="223">
        <v>1</v>
      </c>
      <c r="FZ27" s="223">
        <v>0.9</v>
      </c>
      <c r="GA27" s="223" t="s">
        <v>3468</v>
      </c>
      <c r="GB27" s="223" t="s">
        <v>3468</v>
      </c>
      <c r="GC27" s="223" t="s">
        <v>3468</v>
      </c>
      <c r="GD27" s="223" t="s">
        <v>3468</v>
      </c>
      <c r="GE27" s="223" t="s">
        <v>3468</v>
      </c>
      <c r="GF27" s="223" t="s">
        <v>3468</v>
      </c>
      <c r="GG27" s="223">
        <v>477.3969140625</v>
      </c>
      <c r="GH27" s="223">
        <v>499.50906250000003</v>
      </c>
      <c r="GI27" s="223">
        <v>511.44578125000004</v>
      </c>
      <c r="GJ27" s="223">
        <v>540.32339843750003</v>
      </c>
      <c r="GK27" s="223">
        <v>678.23235937499999</v>
      </c>
      <c r="GL27" s="223">
        <v>558.21828125000002</v>
      </c>
      <c r="GM27" s="223">
        <v>551.60136718750005</v>
      </c>
      <c r="GN27" s="223">
        <v>689.06465624999998</v>
      </c>
      <c r="GO27" s="223">
        <v>667.78753125000003</v>
      </c>
      <c r="GP27" s="223">
        <v>729.28026562499997</v>
      </c>
      <c r="GQ27" s="223">
        <v>771.94017187500003</v>
      </c>
      <c r="GR27" s="223">
        <v>893.16565624999987</v>
      </c>
      <c r="GS27" s="223">
        <v>1021.2959375</v>
      </c>
      <c r="GT27" s="223">
        <v>976.51935937499991</v>
      </c>
      <c r="GU27" s="223">
        <v>1191.9568750000001</v>
      </c>
      <c r="GV27" s="223">
        <v>1286.5144218750002</v>
      </c>
      <c r="GW27" s="223">
        <v>1954.0243125</v>
      </c>
      <c r="GX27" s="223">
        <v>3151.1716875000002</v>
      </c>
      <c r="GY27" s="223">
        <v>4039.2928125000003</v>
      </c>
      <c r="GZ27" s="223">
        <v>3790.5134531250001</v>
      </c>
      <c r="HA27" s="223">
        <v>3502.7046562500004</v>
      </c>
      <c r="HB27" s="223">
        <v>4211.7159375000001</v>
      </c>
      <c r="HC27" s="223">
        <v>5070.7366875000007</v>
      </c>
      <c r="HD27" s="223">
        <v>5531.5561562500006</v>
      </c>
      <c r="HE27" s="223">
        <v>6450.9931875000002</v>
      </c>
      <c r="HF27" s="223">
        <v>7125.7051250000004</v>
      </c>
      <c r="HG27" s="223">
        <v>9140.7863125000003</v>
      </c>
      <c r="HH27" s="223">
        <v>9523.5232500000002</v>
      </c>
      <c r="HI27" s="223">
        <v>6214.1729375000004</v>
      </c>
      <c r="HJ27" s="223">
        <v>5839.6648750000004</v>
      </c>
      <c r="HK27" s="223">
        <v>5784.072937500001</v>
      </c>
      <c r="HL27" s="223">
        <v>5402.2914687500006</v>
      </c>
      <c r="HM27" s="223">
        <v>5447.15625</v>
      </c>
      <c r="HN27" s="223">
        <v>5271.7857500000009</v>
      </c>
      <c r="HO27" s="223">
        <v>5690.3983125000004</v>
      </c>
      <c r="HP27" s="223">
        <v>6123.1541250000009</v>
      </c>
      <c r="HQ27" s="223">
        <v>6063.1062499999998</v>
      </c>
      <c r="HR27" s="223">
        <v>5942.8614375000006</v>
      </c>
      <c r="HS27" s="223" t="e">
        <v>#VALUE!</v>
      </c>
      <c r="HT27" s="223" t="e">
        <v>#VALUE!</v>
      </c>
      <c r="HU27" s="223" t="e">
        <v>#VALUE!</v>
      </c>
      <c r="HV27" s="223" t="e">
        <v>#VALUE!</v>
      </c>
      <c r="HW27" s="223" t="e">
        <v>#VALUE!</v>
      </c>
      <c r="HX27" s="223" t="e">
        <v>#VALUE!</v>
      </c>
      <c r="HY27" s="224">
        <v>2602.1852941376865</v>
      </c>
      <c r="HZ27" s="224">
        <v>2677.5345393008838</v>
      </c>
      <c r="IA27" s="224">
        <v>2696.7706044042961</v>
      </c>
      <c r="IB27" s="224">
        <v>2803.2807726898709</v>
      </c>
      <c r="IC27" s="224">
        <v>3463.1538388775875</v>
      </c>
      <c r="ID27" s="224">
        <v>2805.9912196262153</v>
      </c>
      <c r="IE27" s="224">
        <v>2730.2456976834546</v>
      </c>
      <c r="IF27" s="224">
        <v>3359.1739072252999</v>
      </c>
      <c r="IG27" s="224">
        <v>3207.0508952343816</v>
      </c>
      <c r="IH27" s="224">
        <v>3451.0641926903413</v>
      </c>
      <c r="II27" s="224">
        <v>3600.1985480327962</v>
      </c>
      <c r="IJ27" s="224">
        <v>4042.1087723423684</v>
      </c>
      <c r="IK27" s="224">
        <v>4488.9258181509713</v>
      </c>
      <c r="IL27" s="224">
        <v>4172.0217989051016</v>
      </c>
      <c r="IM27" s="224">
        <v>4953.8322083806834</v>
      </c>
      <c r="IN27" s="224">
        <v>5205.1389292244994</v>
      </c>
      <c r="IO27" s="224">
        <v>7701.7527161938642</v>
      </c>
      <c r="IP27" s="224">
        <v>12107.740987688085</v>
      </c>
      <c r="IQ27" s="224">
        <v>15139.200507641803</v>
      </c>
      <c r="IR27" s="224">
        <v>13866.407227278954</v>
      </c>
      <c r="IS27" s="224">
        <v>12513.738518444925</v>
      </c>
      <c r="IT27" s="224">
        <v>14702.734563182037</v>
      </c>
      <c r="IU27" s="224">
        <v>17183.282002771295</v>
      </c>
      <c r="IV27" s="224">
        <v>18211.711861312549</v>
      </c>
      <c r="IW27" s="224">
        <v>20651.418942214703</v>
      </c>
      <c r="IX27" s="224">
        <v>22197.462559311978</v>
      </c>
      <c r="IY27" s="224">
        <v>27728.467352841697</v>
      </c>
      <c r="IZ27" s="224">
        <v>28151.733883626188</v>
      </c>
      <c r="JA27" s="224">
        <v>17911.804938839545</v>
      </c>
      <c r="JB27" s="224">
        <v>16423.353309664348</v>
      </c>
      <c r="JC27" s="224">
        <v>15881.152427487557</v>
      </c>
      <c r="JD27" s="224">
        <v>14489.220753575846</v>
      </c>
      <c r="JE27" s="224">
        <v>14253.108184817347</v>
      </c>
      <c r="JF27" s="224">
        <v>13465.69660838651</v>
      </c>
      <c r="JG27" s="224">
        <v>14196.83300181849</v>
      </c>
      <c r="JH27" s="224">
        <v>14929.210006224859</v>
      </c>
      <c r="JI27" s="224">
        <v>14454.203304259272</v>
      </c>
      <c r="JJ27" s="224">
        <v>13859.468331822392</v>
      </c>
      <c r="JK27" s="224"/>
      <c r="JL27" s="224"/>
      <c r="JM27" s="224"/>
      <c r="JN27" s="224"/>
      <c r="JO27" s="224"/>
      <c r="JP27" s="224"/>
    </row>
    <row r="28" spans="1:276" s="225" customFormat="1" ht="14" customHeight="1">
      <c r="A28" s="217" t="s">
        <v>660</v>
      </c>
      <c r="B28" s="217" t="s">
        <v>661</v>
      </c>
      <c r="C28" s="217">
        <v>20</v>
      </c>
      <c r="D28" s="217" t="s">
        <v>541</v>
      </c>
      <c r="E28" s="218">
        <v>581.43818321896458</v>
      </c>
      <c r="F28" s="218">
        <v>546.06404407448576</v>
      </c>
      <c r="G28" s="218">
        <v>508.75292404664617</v>
      </c>
      <c r="H28" s="218">
        <v>535.51827484710873</v>
      </c>
      <c r="I28" s="218">
        <v>557.87715259778702</v>
      </c>
      <c r="J28" s="218">
        <v>535.82450979435009</v>
      </c>
      <c r="K28" s="218">
        <v>524.8738714269648</v>
      </c>
      <c r="L28" s="218">
        <v>522.41327502903255</v>
      </c>
      <c r="M28" s="218">
        <v>541.11419734766241</v>
      </c>
      <c r="N28" s="218">
        <v>544.18811335568432</v>
      </c>
      <c r="O28" s="218">
        <v>569.6192084393482</v>
      </c>
      <c r="P28" s="218">
        <v>685.18418414058533</v>
      </c>
      <c r="Q28" s="218">
        <v>572.47785661204273</v>
      </c>
      <c r="R28" s="218">
        <v>542.4758105283272</v>
      </c>
      <c r="S28" s="218">
        <v>606.94464697142621</v>
      </c>
      <c r="T28" s="218">
        <v>595.75251841469583</v>
      </c>
      <c r="U28" s="218">
        <v>601.03598153820644</v>
      </c>
      <c r="V28" s="218">
        <v>697.23500099152739</v>
      </c>
      <c r="W28" s="218">
        <v>618.94878951586907</v>
      </c>
      <c r="X28" s="218">
        <v>675.29723895645111</v>
      </c>
      <c r="Y28" s="218">
        <v>684.75584564104327</v>
      </c>
      <c r="Z28" s="218">
        <v>717.48602006093233</v>
      </c>
      <c r="AA28" s="218">
        <v>677.10886607299369</v>
      </c>
      <c r="AB28" s="218">
        <v>802.86432582974646</v>
      </c>
      <c r="AC28" s="218">
        <v>709.18254793186713</v>
      </c>
      <c r="AD28" s="218">
        <v>654.88561921006715</v>
      </c>
      <c r="AE28" s="218">
        <v>650.22784037313374</v>
      </c>
      <c r="AF28" s="218">
        <v>631.04534806344134</v>
      </c>
      <c r="AG28" s="218">
        <v>547.15415005197326</v>
      </c>
      <c r="AH28" s="218">
        <v>520.35232867541583</v>
      </c>
      <c r="AI28" s="218">
        <v>588.23460813659995</v>
      </c>
      <c r="AJ28" s="218">
        <v>657.68187003005971</v>
      </c>
      <c r="AK28" s="218">
        <v>736.00731917541623</v>
      </c>
      <c r="AL28" s="218">
        <v>787.17622633519034</v>
      </c>
      <c r="AM28" s="218">
        <v>745.62648911656163</v>
      </c>
      <c r="AN28" s="218">
        <v>734.30735897093189</v>
      </c>
      <c r="AO28" s="218">
        <v>741.61910877289165</v>
      </c>
      <c r="AP28" s="218">
        <v>753.76873552283109</v>
      </c>
      <c r="AQ28" s="218">
        <v>735.51476587228262</v>
      </c>
      <c r="AR28" s="218">
        <v>702.22812702979138</v>
      </c>
      <c r="AS28" s="218">
        <v>674.64485834894481</v>
      </c>
      <c r="AT28" s="218">
        <v>17198.364680720792</v>
      </c>
      <c r="AU28" s="218">
        <v>17962.192447181391</v>
      </c>
      <c r="AV28" s="218">
        <v>21483.464676950654</v>
      </c>
      <c r="AW28" s="218">
        <v>17871.152991071143</v>
      </c>
      <c r="AX28" s="218">
        <v>16939.120894938584</v>
      </c>
      <c r="AY28" s="218">
        <v>18993.153740947146</v>
      </c>
      <c r="AZ28" s="218">
        <v>19111.848360724842</v>
      </c>
      <c r="BA28" s="218">
        <v>19428.511100625277</v>
      </c>
      <c r="BB28" s="218">
        <v>22914.89122007072</v>
      </c>
      <c r="BC28" s="218">
        <v>20241.243692764067</v>
      </c>
      <c r="BD28" s="218">
        <v>22196.113493434121</v>
      </c>
      <c r="BE28" s="218">
        <v>22458.087417521809</v>
      </c>
      <c r="BF28" s="218">
        <v>23589.717607485316</v>
      </c>
      <c r="BG28" s="218">
        <v>22179.417544384774</v>
      </c>
      <c r="BH28" s="218">
        <v>26269.458194077983</v>
      </c>
      <c r="BI28" s="218">
        <v>23489.178307897109</v>
      </c>
      <c r="BJ28" s="218">
        <v>21368.939402108539</v>
      </c>
      <c r="BK28" s="218">
        <v>21109.025074159734</v>
      </c>
      <c r="BL28" s="218">
        <v>20567.358506238106</v>
      </c>
      <c r="BM28" s="218">
        <v>18130.801432603927</v>
      </c>
      <c r="BN28" s="218">
        <v>17154.900715396165</v>
      </c>
      <c r="BO28" s="218">
        <v>19095.517457556882</v>
      </c>
      <c r="BP28" s="218">
        <v>21248.774714949439</v>
      </c>
      <c r="BQ28" s="218">
        <v>23933.81861950436</v>
      </c>
      <c r="BR28" s="218">
        <v>24905.314383993624</v>
      </c>
      <c r="BS28" s="218">
        <v>24453.974495193459</v>
      </c>
      <c r="BT28" s="218">
        <v>25111.385325685846</v>
      </c>
      <c r="BU28" s="218">
        <v>26375.889946415507</v>
      </c>
      <c r="BV28" s="218">
        <v>20529.308619809039</v>
      </c>
      <c r="BW28" s="218">
        <v>21699.176557699051</v>
      </c>
      <c r="BX28" s="218">
        <v>25906.40778956734</v>
      </c>
      <c r="BY28" s="218">
        <v>24847.993220815235</v>
      </c>
      <c r="BZ28" s="218">
        <v>35930.123101513862</v>
      </c>
      <c r="CA28" s="218">
        <v>34549.349056021012</v>
      </c>
      <c r="CB28" s="218">
        <v>35209.419889294542</v>
      </c>
      <c r="CC28" s="218">
        <v>38201.818922448387</v>
      </c>
      <c r="CD28" s="219">
        <v>5210.0301851083832</v>
      </c>
      <c r="CE28" s="219">
        <v>5245.1841163079016</v>
      </c>
      <c r="CF28" s="219">
        <v>5038.1134188022579</v>
      </c>
      <c r="CG28" s="219">
        <v>5372.2074747723091</v>
      </c>
      <c r="CH28" s="219">
        <v>5128.184211478474</v>
      </c>
      <c r="CI28" s="219">
        <v>5259.1961217945809</v>
      </c>
      <c r="CJ28" s="219">
        <v>4812.2773157502515</v>
      </c>
      <c r="CK28" s="219">
        <v>5428.1952684300422</v>
      </c>
      <c r="CL28" s="219">
        <v>5993.4773417122233</v>
      </c>
      <c r="CM28" s="219">
        <v>6667.4917170812478</v>
      </c>
      <c r="CN28" s="219">
        <v>6686.2490099225506</v>
      </c>
      <c r="CO28" s="219">
        <v>5699.4184408342553</v>
      </c>
      <c r="CP28" s="219">
        <v>5569.3596313577618</v>
      </c>
      <c r="CQ28" s="219">
        <v>5135.2776705824572</v>
      </c>
      <c r="CR28" s="219">
        <v>4979.242449020182</v>
      </c>
      <c r="CS28" s="219">
        <v>5187.8986668873158</v>
      </c>
      <c r="CT28" s="219">
        <v>5917.9905014862743</v>
      </c>
      <c r="CU28" s="219">
        <v>6290.9331581184397</v>
      </c>
      <c r="CV28" s="219">
        <v>6247.575366358592</v>
      </c>
      <c r="CW28" s="219">
        <v>6457.5495839941786</v>
      </c>
      <c r="CX28" s="219">
        <v>6725.3653788919592</v>
      </c>
      <c r="CY28" s="219">
        <v>7182.8261045164663</v>
      </c>
      <c r="CZ28" s="219">
        <v>7339.561010241634</v>
      </c>
      <c r="DA28" s="219">
        <v>6698.4101820640572</v>
      </c>
      <c r="DB28" s="219">
        <v>6665.42496396141</v>
      </c>
      <c r="DC28" s="219">
        <v>6592.0234434087679</v>
      </c>
      <c r="DD28" s="219">
        <v>5887.1107553258462</v>
      </c>
      <c r="DE28" s="219">
        <v>6504.6269507414672</v>
      </c>
      <c r="DF28" s="219">
        <v>7319.4592442564272</v>
      </c>
      <c r="DG28" s="219">
        <v>20113.399257434656</v>
      </c>
      <c r="DH28" s="219">
        <v>21805.864790003445</v>
      </c>
      <c r="DI28" s="219">
        <v>25448.993122997443</v>
      </c>
      <c r="DJ28" s="219">
        <v>27124.753932587693</v>
      </c>
      <c r="DK28" s="219">
        <v>24270.238153659684</v>
      </c>
      <c r="DL28" s="219">
        <v>20529.308619809039</v>
      </c>
      <c r="DM28" s="219">
        <v>21699.176557699051</v>
      </c>
      <c r="DN28" s="219">
        <v>25906.40778956734</v>
      </c>
      <c r="DO28" s="219">
        <v>24847.993220815235</v>
      </c>
      <c r="DP28" s="219">
        <v>35930.123101513862</v>
      </c>
      <c r="DQ28" s="219">
        <v>34549.349056021012</v>
      </c>
      <c r="DR28" s="219">
        <v>35209.419889294542</v>
      </c>
      <c r="DS28" s="219">
        <v>38201.818922448387</v>
      </c>
      <c r="DT28" s="220">
        <v>0.87600474835783559</v>
      </c>
      <c r="DU28" s="220">
        <v>0.92294664089950573</v>
      </c>
      <c r="DV28" s="220">
        <v>1.1055981440210441</v>
      </c>
      <c r="DW28" s="220">
        <v>1.1483900834076148</v>
      </c>
      <c r="DX28" s="220">
        <v>0.98250009684438999</v>
      </c>
      <c r="DY28" s="220">
        <v>0.81512625673011374</v>
      </c>
      <c r="DZ28" s="220">
        <v>0.89655344109760804</v>
      </c>
      <c r="EA28" s="220">
        <v>1.0955210310354473</v>
      </c>
      <c r="EB28" s="220">
        <v>1.0979955772674492</v>
      </c>
      <c r="EC28" s="220">
        <v>1.7164076510860795</v>
      </c>
      <c r="ED28" s="220">
        <v>1.5720234971815499</v>
      </c>
      <c r="EE28" s="220">
        <v>1.5280979418720784</v>
      </c>
      <c r="EF28" s="220">
        <v>1.5556597287687324</v>
      </c>
      <c r="EG28" s="221">
        <v>11638</v>
      </c>
      <c r="EH28" s="221">
        <v>12795</v>
      </c>
      <c r="EI28" s="221">
        <v>13525</v>
      </c>
      <c r="EJ28" s="221">
        <v>15924.7</v>
      </c>
      <c r="EK28" s="221">
        <v>19872.02</v>
      </c>
      <c r="EL28" s="221">
        <v>20157.93</v>
      </c>
      <c r="EM28" s="221">
        <v>14207</v>
      </c>
      <c r="EN28" s="221">
        <v>13475</v>
      </c>
      <c r="EO28" s="222">
        <v>0.6</v>
      </c>
      <c r="EP28" s="222">
        <v>0.6</v>
      </c>
      <c r="EQ28" s="222">
        <v>0.7</v>
      </c>
      <c r="ER28" s="222">
        <v>0.6</v>
      </c>
      <c r="ES28" s="222">
        <v>0.6</v>
      </c>
      <c r="ET28" s="222">
        <v>0.6</v>
      </c>
      <c r="EU28" s="222">
        <v>0.7</v>
      </c>
      <c r="EV28" s="222">
        <v>0.6</v>
      </c>
      <c r="EW28" s="222">
        <v>0.8</v>
      </c>
      <c r="EX28" s="222">
        <v>0.7</v>
      </c>
      <c r="EY28" s="222">
        <v>0.8</v>
      </c>
      <c r="EZ28" s="222">
        <v>0.8</v>
      </c>
      <c r="FA28" s="222">
        <v>0.9</v>
      </c>
      <c r="FB28" s="222">
        <v>0.9</v>
      </c>
      <c r="FC28" s="222">
        <v>1</v>
      </c>
      <c r="FD28" s="223">
        <v>1</v>
      </c>
      <c r="FE28" s="223">
        <v>0.9</v>
      </c>
      <c r="FF28" s="223">
        <v>0.9</v>
      </c>
      <c r="FG28" s="223">
        <v>0.9</v>
      </c>
      <c r="FH28" s="223">
        <v>0.9</v>
      </c>
      <c r="FI28" s="223">
        <v>0.9</v>
      </c>
      <c r="FJ28" s="223">
        <v>0.9</v>
      </c>
      <c r="FK28" s="223">
        <v>1</v>
      </c>
      <c r="FL28" s="223">
        <v>1</v>
      </c>
      <c r="FM28" s="223">
        <v>1.1000000000000001</v>
      </c>
      <c r="FN28" s="223">
        <v>1.1000000000000001</v>
      </c>
      <c r="FO28" s="223">
        <v>1.1000000000000001</v>
      </c>
      <c r="FP28" s="223">
        <v>1.1000000000000001</v>
      </c>
      <c r="FQ28" s="223">
        <v>1.2</v>
      </c>
      <c r="FR28" s="223">
        <v>1.1000000000000001</v>
      </c>
      <c r="FS28" s="223">
        <v>1.1000000000000001</v>
      </c>
      <c r="FT28" s="223">
        <v>1.2</v>
      </c>
      <c r="FU28" s="223">
        <v>1.3</v>
      </c>
      <c r="FV28" s="223">
        <v>1.2</v>
      </c>
      <c r="FW28" s="223">
        <v>1.2</v>
      </c>
      <c r="FX28" s="223">
        <v>1.1000000000000001</v>
      </c>
      <c r="FY28" s="223" t="s">
        <v>3468</v>
      </c>
      <c r="FZ28" s="223" t="s">
        <v>3468</v>
      </c>
      <c r="GA28" s="223" t="s">
        <v>3468</v>
      </c>
      <c r="GB28" s="223" t="s">
        <v>3468</v>
      </c>
      <c r="GC28" s="223" t="s">
        <v>3468</v>
      </c>
      <c r="GD28" s="223" t="s">
        <v>3468</v>
      </c>
      <c r="GE28" s="223" t="s">
        <v>3468</v>
      </c>
      <c r="GF28" s="223" t="s">
        <v>3468</v>
      </c>
      <c r="GG28" s="223">
        <v>572.87629687499998</v>
      </c>
      <c r="GH28" s="223">
        <v>599.41087500000003</v>
      </c>
      <c r="GI28" s="223">
        <v>716.02409374999991</v>
      </c>
      <c r="GJ28" s="223">
        <v>648.38807812499999</v>
      </c>
      <c r="GK28" s="223">
        <v>678.23235937499999</v>
      </c>
      <c r="GL28" s="223">
        <v>669.86193750000007</v>
      </c>
      <c r="GM28" s="223">
        <v>772.24191406249997</v>
      </c>
      <c r="GN28" s="223">
        <v>689.06465624999998</v>
      </c>
      <c r="GO28" s="223">
        <v>890.383375</v>
      </c>
      <c r="GP28" s="223">
        <v>850.82697656249991</v>
      </c>
      <c r="GQ28" s="223">
        <v>1029.2535625</v>
      </c>
      <c r="GR28" s="223">
        <v>1020.76075</v>
      </c>
      <c r="GS28" s="223">
        <v>1148.9579296875002</v>
      </c>
      <c r="GT28" s="223">
        <v>1255.5248906250001</v>
      </c>
      <c r="GU28" s="223">
        <v>1489.94609375</v>
      </c>
      <c r="GV28" s="223">
        <v>1429.46046875</v>
      </c>
      <c r="GW28" s="223">
        <v>1465.5182343750002</v>
      </c>
      <c r="GX28" s="223">
        <v>1575.5858437500001</v>
      </c>
      <c r="GY28" s="223">
        <v>1652.4379687500002</v>
      </c>
      <c r="GZ28" s="223">
        <v>1624.5057656250001</v>
      </c>
      <c r="HA28" s="223">
        <v>1751.3523281250002</v>
      </c>
      <c r="HB28" s="223">
        <v>2105.8579687500001</v>
      </c>
      <c r="HC28" s="223">
        <v>2817.0759375000002</v>
      </c>
      <c r="HD28" s="223">
        <v>3253.8565625000001</v>
      </c>
      <c r="HE28" s="223">
        <v>4174.1720625000007</v>
      </c>
      <c r="HF28" s="223">
        <v>4610.7503750000005</v>
      </c>
      <c r="HG28" s="223">
        <v>5914.626437500001</v>
      </c>
      <c r="HH28" s="223">
        <v>6162.2797500000006</v>
      </c>
      <c r="HI28" s="223">
        <v>6779.0977499999999</v>
      </c>
      <c r="HJ28" s="223">
        <v>5839.6648750000004</v>
      </c>
      <c r="HK28" s="223">
        <v>5784.072937500001</v>
      </c>
      <c r="HL28" s="223">
        <v>5893.4088750000001</v>
      </c>
      <c r="HM28" s="223">
        <v>5901.0859375000009</v>
      </c>
      <c r="HN28" s="223">
        <v>5751.0389999999998</v>
      </c>
      <c r="HO28" s="223">
        <v>6207.7072500000004</v>
      </c>
      <c r="HP28" s="223">
        <v>6123.1541250000009</v>
      </c>
      <c r="HQ28" s="223" t="e">
        <v>#VALUE!</v>
      </c>
      <c r="HR28" s="223" t="e">
        <v>#VALUE!</v>
      </c>
      <c r="HS28" s="223" t="e">
        <v>#VALUE!</v>
      </c>
      <c r="HT28" s="223" t="e">
        <v>#VALUE!</v>
      </c>
      <c r="HU28" s="223" t="e">
        <v>#VALUE!</v>
      </c>
      <c r="HV28" s="223" t="e">
        <v>#VALUE!</v>
      </c>
      <c r="HW28" s="223" t="e">
        <v>#VALUE!</v>
      </c>
      <c r="HX28" s="223" t="e">
        <v>#VALUE!</v>
      </c>
      <c r="HY28" s="224">
        <v>6783.0528774997929</v>
      </c>
      <c r="HZ28" s="224">
        <v>6849.9872579292251</v>
      </c>
      <c r="IA28" s="224">
        <v>7907.1678245418734</v>
      </c>
      <c r="IB28" s="224">
        <v>6927.0602413725319</v>
      </c>
      <c r="IC28" s="224">
        <v>7017.3631552727038</v>
      </c>
      <c r="ID28" s="224">
        <v>6718.8430927090558</v>
      </c>
      <c r="IE28" s="224">
        <v>7515.9265739327711</v>
      </c>
      <c r="IF28" s="224">
        <v>6513.1570085958037</v>
      </c>
      <c r="IG28" s="224">
        <v>8180.3474599473375</v>
      </c>
      <c r="IH28" s="224">
        <v>7603.9610891381544</v>
      </c>
      <c r="II28" s="224">
        <v>8954.6250902637003</v>
      </c>
      <c r="IJ28" s="224">
        <v>8576.1897904465914</v>
      </c>
      <c r="IK28" s="224">
        <v>9333.2093979152814</v>
      </c>
      <c r="IL28" s="224">
        <v>9871.5721782782402</v>
      </c>
      <c r="IM28" s="224">
        <v>11350.452520443934</v>
      </c>
      <c r="IN28" s="224">
        <v>10561.27912078965</v>
      </c>
      <c r="IO28" s="224">
        <v>10510.719469160405</v>
      </c>
      <c r="IP28" s="224">
        <v>10978.739780067861</v>
      </c>
      <c r="IQ28" s="224">
        <v>11195.827480287322</v>
      </c>
      <c r="IR28" s="224">
        <v>10710.386992203696</v>
      </c>
      <c r="IS28" s="224">
        <v>11244.106398086102</v>
      </c>
      <c r="IT28" s="224">
        <v>13174.869517139121</v>
      </c>
      <c r="IU28" s="224">
        <v>17212.220515167362</v>
      </c>
      <c r="IV28" s="224">
        <v>19426.542833415126</v>
      </c>
      <c r="IW28" s="224">
        <v>24364.256077388058</v>
      </c>
      <c r="IX28" s="224">
        <v>26324.310540913659</v>
      </c>
      <c r="IY28" s="224">
        <v>33046.298119901672</v>
      </c>
      <c r="IZ28" s="224">
        <v>33708.989804614896</v>
      </c>
      <c r="JA28" s="224">
        <v>36322.484520704427</v>
      </c>
      <c r="JB28" s="224">
        <v>30660.106261215995</v>
      </c>
      <c r="JC28" s="224">
        <v>29769.877923937485</v>
      </c>
      <c r="JD28" s="224">
        <v>29746.512863351185</v>
      </c>
      <c r="JE28" s="224">
        <v>29196.354162698266</v>
      </c>
      <c r="JF28" s="224">
        <v>27902.299820914151</v>
      </c>
      <c r="JG28" s="224">
        <v>29545.081147383647</v>
      </c>
      <c r="JH28" s="224">
        <v>28598.718722777783</v>
      </c>
      <c r="JI28" s="224"/>
      <c r="JJ28" s="224"/>
      <c r="JK28" s="224"/>
      <c r="JL28" s="224"/>
      <c r="JM28" s="224"/>
      <c r="JN28" s="224"/>
      <c r="JO28" s="224"/>
      <c r="JP28" s="224"/>
    </row>
    <row r="29" spans="1:276" s="225" customFormat="1" ht="14" customHeight="1">
      <c r="A29" s="217" t="s">
        <v>80</v>
      </c>
      <c r="B29" s="217" t="s">
        <v>747</v>
      </c>
      <c r="C29" s="217">
        <v>21</v>
      </c>
      <c r="D29" s="217" t="s">
        <v>759</v>
      </c>
      <c r="E29" s="218">
        <v>248.9139733134364</v>
      </c>
      <c r="F29" s="218">
        <v>255.89091387797362</v>
      </c>
      <c r="G29" s="218">
        <v>260.01053578885666</v>
      </c>
      <c r="H29" s="218">
        <v>272.80530831270295</v>
      </c>
      <c r="I29" s="218">
        <v>310.70091868223051</v>
      </c>
      <c r="J29" s="218">
        <v>283.29118937722603</v>
      </c>
      <c r="K29" s="218">
        <v>285.15131019223975</v>
      </c>
      <c r="L29" s="218">
        <v>291.01182866510112</v>
      </c>
      <c r="M29" s="218">
        <v>316.28903612071963</v>
      </c>
      <c r="N29" s="218">
        <v>326.27444371077621</v>
      </c>
      <c r="O29" s="218">
        <v>325.66794608113457</v>
      </c>
      <c r="P29" s="218">
        <v>341.90119038617291</v>
      </c>
      <c r="Q29" s="218">
        <v>349.32330909065013</v>
      </c>
      <c r="R29" s="218">
        <v>354.91517967714947</v>
      </c>
      <c r="S29" s="218">
        <v>345.71685134286838</v>
      </c>
      <c r="T29" s="218">
        <v>348.26856749700414</v>
      </c>
      <c r="U29" s="218">
        <v>356.60542435749483</v>
      </c>
      <c r="V29" s="218">
        <v>359.80770194341642</v>
      </c>
      <c r="W29" s="218">
        <v>391.85542298652013</v>
      </c>
      <c r="X29" s="218">
        <v>379.27037699611242</v>
      </c>
      <c r="Y29" s="218">
        <v>359.45785871846323</v>
      </c>
      <c r="Z29" s="218">
        <v>355.70924105697776</v>
      </c>
      <c r="AA29" s="218">
        <v>355.41074606263584</v>
      </c>
      <c r="AB29" s="218">
        <v>378.31729783276813</v>
      </c>
      <c r="AC29" s="218">
        <v>327.26805586762453</v>
      </c>
      <c r="AD29" s="218">
        <v>350.80246842996303</v>
      </c>
      <c r="AE29" s="218">
        <v>348.63006906793606</v>
      </c>
      <c r="AF29" s="218">
        <v>346.81355527189288</v>
      </c>
      <c r="AG29" s="218">
        <v>307.05888976775105</v>
      </c>
      <c r="AH29" s="218">
        <v>295.73858791094636</v>
      </c>
      <c r="AI29" s="218">
        <v>341.1370819091498</v>
      </c>
      <c r="AJ29" s="218">
        <v>367.21640349300014</v>
      </c>
      <c r="AK29" s="218">
        <v>376.22489919408025</v>
      </c>
      <c r="AL29" s="218">
        <v>401.13697975762352</v>
      </c>
      <c r="AM29" s="218">
        <v>382.74566313802973</v>
      </c>
      <c r="AN29" s="218">
        <v>385.88453650879842</v>
      </c>
      <c r="AO29" s="218">
        <v>406.13131022943543</v>
      </c>
      <c r="AP29" s="218">
        <v>413.31157316958451</v>
      </c>
      <c r="AQ29" s="218">
        <v>399.45262740198808</v>
      </c>
      <c r="AR29" s="218">
        <v>377.78000480236835</v>
      </c>
      <c r="AS29" s="218">
        <v>352.8705438070279</v>
      </c>
      <c r="AT29" s="218">
        <v>10311.483715318873</v>
      </c>
      <c r="AU29" s="218">
        <v>10307.321403628875</v>
      </c>
      <c r="AV29" s="218">
        <v>10788.54687374186</v>
      </c>
      <c r="AW29" s="218">
        <v>10994.137725294242</v>
      </c>
      <c r="AX29" s="218">
        <v>11183.635375901011</v>
      </c>
      <c r="AY29" s="218">
        <v>10919.03874111854</v>
      </c>
      <c r="AZ29" s="218">
        <v>11269.846701360317</v>
      </c>
      <c r="BA29" s="218">
        <v>11613.132206532055</v>
      </c>
      <c r="BB29" s="218">
        <v>11890.787530014459</v>
      </c>
      <c r="BC29" s="218">
        <v>12853.765880145445</v>
      </c>
      <c r="BD29" s="218">
        <v>12466.108028980323</v>
      </c>
      <c r="BE29" s="218">
        <v>11839.210813286621</v>
      </c>
      <c r="BF29" s="218">
        <v>11782.372504140405</v>
      </c>
      <c r="BG29" s="218">
        <v>11755.08313772516</v>
      </c>
      <c r="BH29" s="218">
        <v>12515.760759555598</v>
      </c>
      <c r="BI29" s="218">
        <v>10965.624988144402</v>
      </c>
      <c r="BJ29" s="218">
        <v>11576.866662536322</v>
      </c>
      <c r="BK29" s="218">
        <v>11435.45928846391</v>
      </c>
      <c r="BL29" s="218">
        <v>11401.960649035369</v>
      </c>
      <c r="BM29" s="218">
        <v>10239.903118587896</v>
      </c>
      <c r="BN29" s="218">
        <v>9783.7499526692773</v>
      </c>
      <c r="BO29" s="218">
        <v>11074.13438942623</v>
      </c>
      <c r="BP29" s="218">
        <v>11852.099582046925</v>
      </c>
      <c r="BQ29" s="218">
        <v>12203.883301591693</v>
      </c>
      <c r="BR29" s="218">
        <v>12636.269148027301</v>
      </c>
      <c r="BS29" s="218">
        <v>12469.787399111174</v>
      </c>
      <c r="BT29" s="218">
        <v>12985.13338792855</v>
      </c>
      <c r="BU29" s="218">
        <v>13698.799440050108</v>
      </c>
      <c r="BV29" s="218">
        <v>11252.225395553402</v>
      </c>
      <c r="BW29" s="218">
        <v>10642.817376513809</v>
      </c>
      <c r="BX29" s="218">
        <v>10436.608038251628</v>
      </c>
      <c r="BY29" s="218">
        <v>10189.364190464836</v>
      </c>
      <c r="BZ29" s="218">
        <v>10390.165497469639</v>
      </c>
      <c r="CA29" s="218">
        <v>11161.018159312232</v>
      </c>
      <c r="CB29" s="218">
        <v>11777.066956877887</v>
      </c>
      <c r="CC29" s="218">
        <v>12607.93901693925</v>
      </c>
      <c r="CD29" s="219">
        <v>7506.4175917084722</v>
      </c>
      <c r="CE29" s="219">
        <v>7911.3001509739433</v>
      </c>
      <c r="CF29" s="219">
        <v>7440.6884215720247</v>
      </c>
      <c r="CG29" s="219">
        <v>7875.0959843297787</v>
      </c>
      <c r="CH29" s="219">
        <v>8100.6906263200181</v>
      </c>
      <c r="CI29" s="219">
        <v>7514.3774833471289</v>
      </c>
      <c r="CJ29" s="219">
        <v>7288.0041193140369</v>
      </c>
      <c r="CK29" s="219">
        <v>7883.6217163440242</v>
      </c>
      <c r="CL29" s="219">
        <v>8013.2922753578987</v>
      </c>
      <c r="CM29" s="219">
        <v>7445.9735350989822</v>
      </c>
      <c r="CN29" s="219">
        <v>7817.2149377819405</v>
      </c>
      <c r="CO29" s="219">
        <v>7534.1943196908769</v>
      </c>
      <c r="CP29" s="219">
        <v>7390.2883803632676</v>
      </c>
      <c r="CQ29" s="219">
        <v>6997.9868529369232</v>
      </c>
      <c r="CR29" s="219">
        <v>6599.1022901708639</v>
      </c>
      <c r="CS29" s="219">
        <v>6736.5910873336425</v>
      </c>
      <c r="CT29" s="219">
        <v>7197.1335960255328</v>
      </c>
      <c r="CU29" s="219">
        <v>7252.8919375447958</v>
      </c>
      <c r="CV29" s="219">
        <v>7167.9907847371287</v>
      </c>
      <c r="CW29" s="219">
        <v>6564.7568880525369</v>
      </c>
      <c r="CX29" s="219">
        <v>6806.3798898199539</v>
      </c>
      <c r="CY29" s="219">
        <v>6879.5543107113954</v>
      </c>
      <c r="CZ29" s="219">
        <v>6967.3690720563609</v>
      </c>
      <c r="DA29" s="219">
        <v>6249.7436251879708</v>
      </c>
      <c r="DB29" s="219">
        <v>5977.2934414812635</v>
      </c>
      <c r="DC29" s="219">
        <v>5629.3915296925361</v>
      </c>
      <c r="DD29" s="219">
        <v>4797.3783900523267</v>
      </c>
      <c r="DE29" s="219">
        <v>5450.2292364658661</v>
      </c>
      <c r="DF29" s="219">
        <v>5635.4125158594416</v>
      </c>
      <c r="DG29" s="219">
        <v>9821.4805363059513</v>
      </c>
      <c r="DH29" s="219">
        <v>10279.945597488271</v>
      </c>
      <c r="DI29" s="219">
        <v>10097.791373627912</v>
      </c>
      <c r="DJ29" s="219">
        <v>10626.962819848732</v>
      </c>
      <c r="DK29" s="219">
        <v>10803.071824294442</v>
      </c>
      <c r="DL29" s="219">
        <v>11252.225395553402</v>
      </c>
      <c r="DM29" s="219">
        <v>10642.817376513809</v>
      </c>
      <c r="DN29" s="219">
        <v>10436.608038251628</v>
      </c>
      <c r="DO29" s="219">
        <v>10189.364190464836</v>
      </c>
      <c r="DP29" s="219">
        <v>10390.165497469639</v>
      </c>
      <c r="DQ29" s="219">
        <v>11161.018159312232</v>
      </c>
      <c r="DR29" s="219">
        <v>11777.066956877887</v>
      </c>
      <c r="DS29" s="219">
        <v>12607.93901693925</v>
      </c>
      <c r="DT29" s="220">
        <v>7.2984810706139687</v>
      </c>
      <c r="DU29" s="220">
        <v>7.3334028694209534</v>
      </c>
      <c r="DV29" s="220">
        <v>7.3065501945877571</v>
      </c>
      <c r="DW29" s="220">
        <v>7.4080239479054955</v>
      </c>
      <c r="DX29" s="220">
        <v>7.1209890882297069</v>
      </c>
      <c r="DY29" s="220">
        <v>7.1967366589054222</v>
      </c>
      <c r="DZ29" s="220">
        <v>7.009526014668757</v>
      </c>
      <c r="EA29" s="220">
        <v>6.9639940758033756</v>
      </c>
      <c r="EB29" s="220">
        <v>7.0348702504550022</v>
      </c>
      <c r="EC29" s="220">
        <v>7.65346141274203</v>
      </c>
      <c r="ED29" s="220">
        <v>7.7307313742602979</v>
      </c>
      <c r="EE29" s="220">
        <v>7.6841290704199965</v>
      </c>
      <c r="EF29" s="220">
        <v>7.6250949569237001</v>
      </c>
      <c r="EG29" s="221">
        <v>5704</v>
      </c>
      <c r="EH29" s="221">
        <v>7842</v>
      </c>
      <c r="EI29" s="221">
        <v>8843</v>
      </c>
      <c r="EJ29" s="221">
        <v>7648.06</v>
      </c>
      <c r="EK29" s="221">
        <v>9301.14</v>
      </c>
      <c r="EL29" s="221">
        <v>9660.86</v>
      </c>
      <c r="EM29" s="221">
        <v>8075</v>
      </c>
      <c r="EN29" s="221">
        <v>7208</v>
      </c>
      <c r="EO29" s="222">
        <v>8.6</v>
      </c>
      <c r="EP29" s="222">
        <v>8.4</v>
      </c>
      <c r="EQ29" s="222">
        <v>8.8000000000000007</v>
      </c>
      <c r="ER29" s="222">
        <v>8.8000000000000007</v>
      </c>
      <c r="ES29" s="222">
        <v>8.6</v>
      </c>
      <c r="ET29" s="222">
        <v>8.5</v>
      </c>
      <c r="EU29" s="222">
        <v>8.8000000000000007</v>
      </c>
      <c r="EV29" s="222">
        <v>8.5</v>
      </c>
      <c r="EW29" s="222">
        <v>9.1</v>
      </c>
      <c r="EX29" s="222">
        <v>9.3000000000000007</v>
      </c>
      <c r="EY29" s="222">
        <v>9.1</v>
      </c>
      <c r="EZ29" s="222">
        <v>9.1999999999999993</v>
      </c>
      <c r="FA29" s="222">
        <v>9.5</v>
      </c>
      <c r="FB29" s="222">
        <v>9.1999999999999993</v>
      </c>
      <c r="FC29" s="222">
        <v>9.6999999999999993</v>
      </c>
      <c r="FD29" s="223">
        <v>9.1999999999999993</v>
      </c>
      <c r="FE29" s="223">
        <v>9.3000000000000007</v>
      </c>
      <c r="FF29" s="223">
        <v>9.1</v>
      </c>
      <c r="FG29" s="223">
        <v>9.3000000000000007</v>
      </c>
      <c r="FH29" s="223">
        <v>9</v>
      </c>
      <c r="FI29" s="223">
        <v>8.9</v>
      </c>
      <c r="FJ29" s="223">
        <v>9.4</v>
      </c>
      <c r="FK29" s="223">
        <v>9.3000000000000007</v>
      </c>
      <c r="FL29" s="223">
        <v>9.1</v>
      </c>
      <c r="FM29" s="223">
        <v>9</v>
      </c>
      <c r="FN29" s="223">
        <v>9</v>
      </c>
      <c r="FO29" s="223">
        <v>9.1</v>
      </c>
      <c r="FP29" s="223">
        <v>9</v>
      </c>
      <c r="FQ29" s="223">
        <v>7.7</v>
      </c>
      <c r="FR29" s="223">
        <v>7.6</v>
      </c>
      <c r="FS29" s="223">
        <v>7.7</v>
      </c>
      <c r="FT29" s="223">
        <v>7.7</v>
      </c>
      <c r="FU29" s="223">
        <v>8.1999999999999993</v>
      </c>
      <c r="FV29" s="223">
        <v>8.1999999999999993</v>
      </c>
      <c r="FW29" s="223">
        <v>8</v>
      </c>
      <c r="FX29" s="223">
        <v>7.8</v>
      </c>
      <c r="FY29" s="223">
        <v>7.6</v>
      </c>
      <c r="FZ29" s="223">
        <v>7.4</v>
      </c>
      <c r="GA29" s="223">
        <v>7.7</v>
      </c>
      <c r="GB29" s="223">
        <v>7.8</v>
      </c>
      <c r="GC29" s="223">
        <v>8</v>
      </c>
      <c r="GD29" s="223">
        <v>8.1</v>
      </c>
      <c r="GE29" s="223">
        <v>8.5</v>
      </c>
      <c r="GF29" s="223">
        <v>8</v>
      </c>
      <c r="GG29" s="223">
        <v>8211.2269218749989</v>
      </c>
      <c r="GH29" s="223">
        <v>8391.7522500000014</v>
      </c>
      <c r="GI29" s="223">
        <v>9001.4457500000008</v>
      </c>
      <c r="GJ29" s="223">
        <v>9509.6918125000011</v>
      </c>
      <c r="GK29" s="223">
        <v>9721.3304843749993</v>
      </c>
      <c r="GL29" s="223">
        <v>9489.7107812499999</v>
      </c>
      <c r="GM29" s="223">
        <v>9708.1840625000004</v>
      </c>
      <c r="GN29" s="223">
        <v>9761.7492968750012</v>
      </c>
      <c r="GO29" s="223">
        <v>10128.110890624999</v>
      </c>
      <c r="GP29" s="223">
        <v>11303.844117187502</v>
      </c>
      <c r="GQ29" s="223">
        <v>11707.759273437499</v>
      </c>
      <c r="GR29" s="223">
        <v>11738.748625</v>
      </c>
      <c r="GS29" s="223">
        <v>12127.8892578125</v>
      </c>
      <c r="GT29" s="223">
        <v>12834.2544375</v>
      </c>
      <c r="GU29" s="223">
        <v>14452.477109374999</v>
      </c>
      <c r="GV29" s="223">
        <v>13151.0363125</v>
      </c>
      <c r="GW29" s="223">
        <v>15143.688421875002</v>
      </c>
      <c r="GX29" s="223">
        <v>15930.92353125</v>
      </c>
      <c r="GY29" s="223">
        <v>17075.192343750001</v>
      </c>
      <c r="GZ29" s="223">
        <v>16245.057656249999</v>
      </c>
      <c r="HA29" s="223">
        <v>17318.928578125004</v>
      </c>
      <c r="HB29" s="223">
        <v>21994.516562500001</v>
      </c>
      <c r="HC29" s="223">
        <v>26198.806218750004</v>
      </c>
      <c r="HD29" s="223">
        <v>29610.094718749999</v>
      </c>
      <c r="HE29" s="223">
        <v>34152.316874999997</v>
      </c>
      <c r="HF29" s="223">
        <v>37724.321250000001</v>
      </c>
      <c r="HG29" s="223">
        <v>48930.091437499999</v>
      </c>
      <c r="HH29" s="223">
        <v>50418.652499999997</v>
      </c>
      <c r="HI29" s="223">
        <v>43499.210562499997</v>
      </c>
      <c r="HJ29" s="223">
        <v>40346.775499999996</v>
      </c>
      <c r="HK29" s="223">
        <v>40488.5105625</v>
      </c>
      <c r="HL29" s="223">
        <v>37816.040281249996</v>
      </c>
      <c r="HM29" s="223">
        <v>37222.234374999993</v>
      </c>
      <c r="HN29" s="223">
        <v>39298.766499999998</v>
      </c>
      <c r="HO29" s="223">
        <v>41384.715000000004</v>
      </c>
      <c r="HP29" s="223">
        <v>43418.729249999997</v>
      </c>
      <c r="HQ29" s="223">
        <v>46079.607499999998</v>
      </c>
      <c r="HR29" s="223">
        <v>48863.527375000005</v>
      </c>
      <c r="HS29" s="223">
        <v>53372.150562499999</v>
      </c>
      <c r="HT29" s="223">
        <v>54025.291125000003</v>
      </c>
      <c r="HU29" s="223">
        <v>61014.69</v>
      </c>
      <c r="HV29" s="223">
        <v>68240.125687499996</v>
      </c>
      <c r="HW29" s="223">
        <v>72568.399375000008</v>
      </c>
      <c r="HX29" s="223">
        <v>70030.985000000001</v>
      </c>
      <c r="HY29" s="224">
        <v>3844.957991272172</v>
      </c>
      <c r="HZ29" s="224">
        <v>3869.7004301387556</v>
      </c>
      <c r="IA29" s="224">
        <v>4088.6380417733553</v>
      </c>
      <c r="IB29" s="224">
        <v>4255.7108198219094</v>
      </c>
      <c r="IC29" s="224">
        <v>4287.117134723886</v>
      </c>
      <c r="ID29" s="224">
        <v>4124.9488033263142</v>
      </c>
      <c r="IE29" s="224">
        <v>4160.2447480691317</v>
      </c>
      <c r="IF29" s="224">
        <v>4124.8737657227884</v>
      </c>
      <c r="IG29" s="224">
        <v>4220.83163084639</v>
      </c>
      <c r="IH29" s="224">
        <v>4646.9118872216677</v>
      </c>
      <c r="II29" s="224">
        <v>4748.5462747146066</v>
      </c>
      <c r="IJ29" s="224">
        <v>4703.3870300493927</v>
      </c>
      <c r="IK29" s="224">
        <v>4801.0920279381535</v>
      </c>
      <c r="IL29" s="224">
        <v>5020.5773234555281</v>
      </c>
      <c r="IM29" s="224">
        <v>5587.4595710753429</v>
      </c>
      <c r="IN29" s="224">
        <v>5025.515305921047</v>
      </c>
      <c r="IO29" s="224">
        <v>5720.8281990481946</v>
      </c>
      <c r="IP29" s="224">
        <v>5950.1998752547361</v>
      </c>
      <c r="IQ29" s="224">
        <v>6306.306406643932</v>
      </c>
      <c r="IR29" s="224">
        <v>5933.4026064912323</v>
      </c>
      <c r="IS29" s="224">
        <v>6256.4755830180384</v>
      </c>
      <c r="IT29" s="224">
        <v>7859.6139404635896</v>
      </c>
      <c r="IU29" s="224">
        <v>9263.6518748929957</v>
      </c>
      <c r="IV29" s="224">
        <v>10361.016667834218</v>
      </c>
      <c r="IW29" s="224">
        <v>11827.461160594527</v>
      </c>
      <c r="IX29" s="224">
        <v>12931.459614247877</v>
      </c>
      <c r="IY29" s="224">
        <v>16603.587439628445</v>
      </c>
      <c r="IZ29" s="224">
        <v>16937.958684251618</v>
      </c>
      <c r="JA29" s="224">
        <v>14468.996025211503</v>
      </c>
      <c r="JB29" s="224">
        <v>13289.096319294751</v>
      </c>
      <c r="JC29" s="224">
        <v>13206.556565087363</v>
      </c>
      <c r="JD29" s="224">
        <v>12216.472022981128</v>
      </c>
      <c r="JE29" s="224">
        <v>11943.329887024227</v>
      </c>
      <c r="JF29" s="224">
        <v>12524.921232345601</v>
      </c>
      <c r="JG29" s="224">
        <v>13101.732926244475</v>
      </c>
      <c r="JH29" s="224">
        <v>13654.566114249606</v>
      </c>
      <c r="JI29" s="224">
        <v>14395.961642183327</v>
      </c>
      <c r="JJ29" s="224">
        <v>15165.846352202196</v>
      </c>
      <c r="JK29" s="224">
        <v>16457.544902896378</v>
      </c>
      <c r="JL29" s="224">
        <v>16551.383911884186</v>
      </c>
      <c r="JM29" s="224">
        <v>18572.764879747472</v>
      </c>
      <c r="JN29" s="224">
        <v>20642.020617632075</v>
      </c>
      <c r="JO29" s="224">
        <v>21815.168918725962</v>
      </c>
      <c r="JP29" s="224">
        <v>20959.65465391766</v>
      </c>
    </row>
    <row r="30" spans="1:276" s="225" customFormat="1" ht="14" customHeight="1">
      <c r="A30" s="217" t="s">
        <v>721</v>
      </c>
      <c r="B30" s="217" t="s">
        <v>722</v>
      </c>
      <c r="C30" s="217">
        <v>22</v>
      </c>
      <c r="D30" s="217" t="s">
        <v>664</v>
      </c>
      <c r="E30" s="218">
        <v>101.30903223963824</v>
      </c>
      <c r="F30" s="218">
        <v>97.298375245144243</v>
      </c>
      <c r="G30" s="218">
        <v>91.163668573765364</v>
      </c>
      <c r="H30" s="218">
        <v>106.58383827929296</v>
      </c>
      <c r="I30" s="218">
        <v>98.572943247624679</v>
      </c>
      <c r="J30" s="218">
        <v>98.087495079697987</v>
      </c>
      <c r="K30" s="218">
        <v>108.75707794818202</v>
      </c>
      <c r="L30" s="218">
        <v>95.788447844742464</v>
      </c>
      <c r="M30" s="218">
        <v>120.47954926057979</v>
      </c>
      <c r="N30" s="218">
        <v>138.29576871742245</v>
      </c>
      <c r="O30" s="218">
        <v>136.29552104875148</v>
      </c>
      <c r="P30" s="218">
        <v>141.10770021270815</v>
      </c>
      <c r="Q30" s="218">
        <v>147.60613474348156</v>
      </c>
      <c r="R30" s="218">
        <v>139.96783709033272</v>
      </c>
      <c r="S30" s="218">
        <v>153.72080416269537</v>
      </c>
      <c r="T30" s="218">
        <v>163.35384906256971</v>
      </c>
      <c r="U30" s="218">
        <v>166.53303020061881</v>
      </c>
      <c r="V30" s="218">
        <v>163.81074911967528</v>
      </c>
      <c r="W30" s="218">
        <v>165.20112921065399</v>
      </c>
      <c r="X30" s="218">
        <v>178.19121465660061</v>
      </c>
      <c r="Y30" s="218">
        <v>148.1017988307118</v>
      </c>
      <c r="Z30" s="218">
        <v>178.38251163332276</v>
      </c>
      <c r="AA30" s="218">
        <v>149.21270414373745</v>
      </c>
      <c r="AB30" s="218">
        <v>140.08075019256646</v>
      </c>
      <c r="AC30" s="218">
        <v>135.4118709006645</v>
      </c>
      <c r="AD30" s="218">
        <v>138.9692807002551</v>
      </c>
      <c r="AE30" s="218">
        <v>143.98355790843559</v>
      </c>
      <c r="AF30" s="218">
        <v>143.7073811361328</v>
      </c>
      <c r="AG30" s="218">
        <v>112.91703226645821</v>
      </c>
      <c r="AH30" s="218">
        <v>115.32668151322125</v>
      </c>
      <c r="AI30" s="218">
        <v>126.33355884684789</v>
      </c>
      <c r="AJ30" s="218">
        <v>138.75168872774324</v>
      </c>
      <c r="AK30" s="218">
        <v>144.68477329220553</v>
      </c>
      <c r="AL30" s="218">
        <v>154.2795049154218</v>
      </c>
      <c r="AM30" s="218">
        <v>145.5815010694763</v>
      </c>
      <c r="AN30" s="218">
        <v>143.25532028560511</v>
      </c>
      <c r="AO30" s="218">
        <v>146.07442274035867</v>
      </c>
      <c r="AP30" s="218">
        <v>147.90232068500541</v>
      </c>
      <c r="AQ30" s="218">
        <v>142.06888496945331</v>
      </c>
      <c r="AR30" s="218">
        <v>132.60954591590885</v>
      </c>
      <c r="AS30" s="218">
        <v>122.97724369411304</v>
      </c>
      <c r="AT30" s="218">
        <v>4370.659714590779</v>
      </c>
      <c r="AU30" s="218">
        <v>4311.0607246879845</v>
      </c>
      <c r="AV30" s="218">
        <v>4447.7911632758296</v>
      </c>
      <c r="AW30" s="218">
        <v>4639.0954698042951</v>
      </c>
      <c r="AX30" s="218">
        <v>4403.5921933211721</v>
      </c>
      <c r="AY30" s="218">
        <v>4847.3033606615627</v>
      </c>
      <c r="AZ30" s="218">
        <v>5278.073301710182</v>
      </c>
      <c r="BA30" s="218">
        <v>5416.2095625050542</v>
      </c>
      <c r="BB30" s="218">
        <v>5408.2628175699565</v>
      </c>
      <c r="BC30" s="218">
        <v>5416.0450975453077</v>
      </c>
      <c r="BD30" s="218">
        <v>5856.9059606444653</v>
      </c>
      <c r="BE30" s="218">
        <v>4878.1793879813531</v>
      </c>
      <c r="BF30" s="218">
        <v>5909.2201963731759</v>
      </c>
      <c r="BG30" s="218">
        <v>4935.7602915215302</v>
      </c>
      <c r="BH30" s="218">
        <v>4634.9041080197576</v>
      </c>
      <c r="BI30" s="218">
        <v>4537.8631132912178</v>
      </c>
      <c r="BJ30" s="218">
        <v>4586.816271886606</v>
      </c>
      <c r="BK30" s="218">
        <v>4723.4669759212366</v>
      </c>
      <c r="BL30" s="218">
        <v>4725.118873675895</v>
      </c>
      <c r="BM30" s="218">
        <v>3765.918028052608</v>
      </c>
      <c r="BN30" s="218">
        <v>3815.4661201764056</v>
      </c>
      <c r="BO30" s="218">
        <v>4101.092735902178</v>
      </c>
      <c r="BP30" s="218">
        <v>4486.1025728339009</v>
      </c>
      <c r="BQ30" s="218">
        <v>4711.0107238689607</v>
      </c>
      <c r="BR30" s="218">
        <v>4889.6505862958174</v>
      </c>
      <c r="BS30" s="218">
        <v>4784.2657589052424</v>
      </c>
      <c r="BT30" s="218">
        <v>4888.3427802519509</v>
      </c>
      <c r="BU30" s="218">
        <v>5114.0293281787563</v>
      </c>
      <c r="BV30" s="218">
        <v>4719.4463484706948</v>
      </c>
      <c r="BW30" s="218">
        <v>4566.9888964298898</v>
      </c>
      <c r="BX30" s="218">
        <v>4587.1790111366436</v>
      </c>
      <c r="BY30" s="218">
        <v>4414.7151246832573</v>
      </c>
      <c r="BZ30" s="218">
        <v>4444.706036194566</v>
      </c>
      <c r="CA30" s="218">
        <v>4680.8487227231662</v>
      </c>
      <c r="CB30" s="218">
        <v>4873.0763158185591</v>
      </c>
      <c r="CC30" s="218">
        <v>5200.161608874384</v>
      </c>
      <c r="CD30" s="219">
        <v>2479.6643118436077</v>
      </c>
      <c r="CE30" s="219">
        <v>3254.7498098067363</v>
      </c>
      <c r="CF30" s="219">
        <v>2863.8167857213039</v>
      </c>
      <c r="CG30" s="219">
        <v>3016.9029478024868</v>
      </c>
      <c r="CH30" s="219">
        <v>2940.1068174614102</v>
      </c>
      <c r="CI30" s="219">
        <v>2807.8572483944276</v>
      </c>
      <c r="CJ30" s="219">
        <v>2693.5022281743181</v>
      </c>
      <c r="CK30" s="219">
        <v>2827.4950480269054</v>
      </c>
      <c r="CL30" s="219">
        <v>2864.2322467899603</v>
      </c>
      <c r="CM30" s="219">
        <v>2721.7107227116448</v>
      </c>
      <c r="CN30" s="219">
        <v>3044.3802774653605</v>
      </c>
      <c r="CO30" s="219">
        <v>2912.1956454013762</v>
      </c>
      <c r="CP30" s="219">
        <v>2996.4786156611954</v>
      </c>
      <c r="CQ30" s="219">
        <v>2892.4056991386851</v>
      </c>
      <c r="CR30" s="219">
        <v>2734.3925263659148</v>
      </c>
      <c r="CS30" s="219">
        <v>2916.0366412531403</v>
      </c>
      <c r="CT30" s="219">
        <v>3072.2631056713826</v>
      </c>
      <c r="CU30" s="219">
        <v>3259.3484014823025</v>
      </c>
      <c r="CV30" s="219">
        <v>3621.3843997502736</v>
      </c>
      <c r="CW30" s="219">
        <v>3497.8635916398566</v>
      </c>
      <c r="CX30" s="219">
        <v>4079.808299538859</v>
      </c>
      <c r="CY30" s="219">
        <v>4471.1005497766582</v>
      </c>
      <c r="CZ30" s="219">
        <v>4716.5052905505754</v>
      </c>
      <c r="DA30" s="219">
        <v>4534.5381438128652</v>
      </c>
      <c r="DB30" s="219">
        <v>4446.862159830338</v>
      </c>
      <c r="DC30" s="219">
        <v>4239.5383432567351</v>
      </c>
      <c r="DD30" s="219">
        <v>3728.5054738259905</v>
      </c>
      <c r="DE30" s="219">
        <v>3983.4681490307612</v>
      </c>
      <c r="DF30" s="219">
        <v>4348.9836926313665</v>
      </c>
      <c r="DG30" s="219">
        <v>4624.3914633446766</v>
      </c>
      <c r="DH30" s="219">
        <v>4682.7537766666474</v>
      </c>
      <c r="DI30" s="219">
        <v>4542.5615477813408</v>
      </c>
      <c r="DJ30" s="219">
        <v>4487.3251537678116</v>
      </c>
      <c r="DK30" s="219">
        <v>4639.8313045776613</v>
      </c>
      <c r="DL30" s="219">
        <v>4719.4463484706948</v>
      </c>
      <c r="DM30" s="219">
        <v>4566.9888964298898</v>
      </c>
      <c r="DN30" s="219">
        <v>4587.1790111366436</v>
      </c>
      <c r="DO30" s="219">
        <v>4414.7151246832573</v>
      </c>
      <c r="DP30" s="219">
        <v>4444.706036194566</v>
      </c>
      <c r="DQ30" s="219">
        <v>4680.8487227231662</v>
      </c>
      <c r="DR30" s="219">
        <v>4873.0763158185591</v>
      </c>
      <c r="DS30" s="219">
        <v>5200.161608874384</v>
      </c>
      <c r="DT30" s="220">
        <v>0.84097708482780076</v>
      </c>
      <c r="DU30" s="220">
        <v>0.82493678826577099</v>
      </c>
      <c r="DV30" s="220">
        <v>0.81885640962654094</v>
      </c>
      <c r="DW30" s="220">
        <v>0.78597521622986666</v>
      </c>
      <c r="DX30" s="220">
        <v>0.77486499620523408</v>
      </c>
      <c r="DY30" s="220">
        <v>0.77094210522046502</v>
      </c>
      <c r="DZ30" s="220">
        <v>0.77428793634681714</v>
      </c>
      <c r="EA30" s="220">
        <v>0.79396323433462956</v>
      </c>
      <c r="EB30" s="220">
        <v>0.79651605367670242</v>
      </c>
      <c r="EC30" s="220">
        <v>0.85850788231244934</v>
      </c>
      <c r="ED30" s="220">
        <v>0.85303193245713449</v>
      </c>
      <c r="EE30" s="220">
        <v>0.83930247568788341</v>
      </c>
      <c r="EF30" s="220">
        <v>0.83288686715152305</v>
      </c>
      <c r="EG30" s="221">
        <v>1959</v>
      </c>
      <c r="EH30" s="221">
        <v>3302</v>
      </c>
      <c r="EI30" s="221">
        <v>3555</v>
      </c>
      <c r="EJ30" s="221">
        <v>2194.56</v>
      </c>
      <c r="EK30" s="221">
        <v>2579.96</v>
      </c>
      <c r="EL30" s="221">
        <v>2707.34</v>
      </c>
      <c r="EM30" s="221">
        <v>6487</v>
      </c>
      <c r="EN30" s="221">
        <v>3221</v>
      </c>
      <c r="EO30" s="222">
        <v>0.8</v>
      </c>
      <c r="EP30" s="222">
        <v>0.8</v>
      </c>
      <c r="EQ30" s="222">
        <v>0.9</v>
      </c>
      <c r="ER30" s="222">
        <v>0.9</v>
      </c>
      <c r="ES30" s="222">
        <v>0.8</v>
      </c>
      <c r="ET30" s="222">
        <v>0.9</v>
      </c>
      <c r="EU30" s="222">
        <v>1</v>
      </c>
      <c r="EV30" s="222">
        <v>1</v>
      </c>
      <c r="EW30" s="222">
        <v>1</v>
      </c>
      <c r="EX30" s="222">
        <v>0.9</v>
      </c>
      <c r="EY30" s="222">
        <v>1</v>
      </c>
      <c r="EZ30" s="222">
        <v>0.9</v>
      </c>
      <c r="FA30" s="222">
        <v>1.1000000000000001</v>
      </c>
      <c r="FB30" s="222">
        <v>0.9</v>
      </c>
      <c r="FC30" s="222">
        <v>0.9</v>
      </c>
      <c r="FD30" s="223">
        <v>0.9</v>
      </c>
      <c r="FE30" s="223">
        <v>0.9</v>
      </c>
      <c r="FF30" s="223">
        <v>0.9</v>
      </c>
      <c r="FG30" s="223">
        <v>0.9</v>
      </c>
      <c r="FH30" s="223">
        <v>0.8</v>
      </c>
      <c r="FI30" s="223">
        <v>0.8</v>
      </c>
      <c r="FJ30" s="223">
        <v>0.8</v>
      </c>
      <c r="FK30" s="223">
        <v>0.9</v>
      </c>
      <c r="FL30" s="223">
        <v>0.9</v>
      </c>
      <c r="FM30" s="223">
        <v>0.9</v>
      </c>
      <c r="FN30" s="223">
        <v>0.9</v>
      </c>
      <c r="FO30" s="223">
        <v>0.9</v>
      </c>
      <c r="FP30" s="223">
        <v>0.9</v>
      </c>
      <c r="FQ30" s="223">
        <v>1.2</v>
      </c>
      <c r="FR30" s="223">
        <v>1.2</v>
      </c>
      <c r="FS30" s="223">
        <v>1.2</v>
      </c>
      <c r="FT30" s="223">
        <v>1.3</v>
      </c>
      <c r="FU30" s="223">
        <v>1.2</v>
      </c>
      <c r="FV30" s="223">
        <v>1.3</v>
      </c>
      <c r="FW30" s="223">
        <v>1.2</v>
      </c>
      <c r="FX30" s="223">
        <v>1.3</v>
      </c>
      <c r="FY30" s="223">
        <v>1.3</v>
      </c>
      <c r="FZ30" s="223">
        <v>1.2</v>
      </c>
      <c r="GA30" s="223" t="s">
        <v>3468</v>
      </c>
      <c r="GB30" s="223" t="s">
        <v>3468</v>
      </c>
      <c r="GC30" s="223" t="s">
        <v>3468</v>
      </c>
      <c r="GD30" s="223" t="s">
        <v>3468</v>
      </c>
      <c r="GE30" s="223" t="s">
        <v>3468</v>
      </c>
      <c r="GF30" s="223" t="s">
        <v>3468</v>
      </c>
      <c r="GG30" s="223">
        <v>763.83506250000005</v>
      </c>
      <c r="GH30" s="223">
        <v>799.21450000000004</v>
      </c>
      <c r="GI30" s="223">
        <v>920.60240625000006</v>
      </c>
      <c r="GJ30" s="223">
        <v>972.5821171875001</v>
      </c>
      <c r="GK30" s="223">
        <v>904.30981250000002</v>
      </c>
      <c r="GL30" s="223">
        <v>1004.7929062500001</v>
      </c>
      <c r="GM30" s="223">
        <v>1103.2027343750001</v>
      </c>
      <c r="GN30" s="223">
        <v>1148.4410937499999</v>
      </c>
      <c r="GO30" s="223">
        <v>1112.97921875</v>
      </c>
      <c r="GP30" s="223">
        <v>1093.9203984375001</v>
      </c>
      <c r="GQ30" s="223">
        <v>1286.5669531250001</v>
      </c>
      <c r="GR30" s="223">
        <v>1148.3558437500001</v>
      </c>
      <c r="GS30" s="223">
        <v>1404.2819140625002</v>
      </c>
      <c r="GT30" s="223">
        <v>1255.5248906250001</v>
      </c>
      <c r="GU30" s="223">
        <v>1340.9514843750001</v>
      </c>
      <c r="GV30" s="223">
        <v>1286.5144218750002</v>
      </c>
      <c r="GW30" s="223">
        <v>1465.5182343750002</v>
      </c>
      <c r="GX30" s="223">
        <v>1575.5858437500001</v>
      </c>
      <c r="GY30" s="223">
        <v>1652.4379687500002</v>
      </c>
      <c r="GZ30" s="223">
        <v>1444.0051250000001</v>
      </c>
      <c r="HA30" s="223">
        <v>1556.757625</v>
      </c>
      <c r="HB30" s="223">
        <v>1871.87375</v>
      </c>
      <c r="HC30" s="223">
        <v>2535.3683437500003</v>
      </c>
      <c r="HD30" s="223">
        <v>2928.4709062500006</v>
      </c>
      <c r="HE30" s="223">
        <v>3415.2316875000006</v>
      </c>
      <c r="HF30" s="223">
        <v>3772.4321250000003</v>
      </c>
      <c r="HG30" s="223">
        <v>4839.2398125000009</v>
      </c>
      <c r="HH30" s="223">
        <v>5041.8652500000007</v>
      </c>
      <c r="HI30" s="223">
        <v>6779.0977499999999</v>
      </c>
      <c r="HJ30" s="223">
        <v>6370.5434999999998</v>
      </c>
      <c r="HK30" s="223">
        <v>6309.8977500000001</v>
      </c>
      <c r="HL30" s="223">
        <v>6384.5262812500005</v>
      </c>
      <c r="HM30" s="223">
        <v>5447.15625</v>
      </c>
      <c r="HN30" s="223">
        <v>6230.2922500000004</v>
      </c>
      <c r="HO30" s="223">
        <v>6207.7072500000004</v>
      </c>
      <c r="HP30" s="223">
        <v>7236.4548750000004</v>
      </c>
      <c r="HQ30" s="223">
        <v>7882.0381250000009</v>
      </c>
      <c r="HR30" s="223">
        <v>7923.8152500000006</v>
      </c>
      <c r="HS30" s="223" t="e">
        <v>#VALUE!</v>
      </c>
      <c r="HT30" s="223" t="e">
        <v>#VALUE!</v>
      </c>
      <c r="HU30" s="223" t="e">
        <v>#VALUE!</v>
      </c>
      <c r="HV30" s="223" t="e">
        <v>#VALUE!</v>
      </c>
      <c r="HW30" s="223" t="e">
        <v>#VALUE!</v>
      </c>
      <c r="HX30" s="223" t="e">
        <v>#VALUE!</v>
      </c>
      <c r="HY30" s="224">
        <v>1541.7960605063593</v>
      </c>
      <c r="HZ30" s="224">
        <v>1581.4471047003071</v>
      </c>
      <c r="IA30" s="224">
        <v>1786.4702232131074</v>
      </c>
      <c r="IB30" s="224">
        <v>1851.5875898086945</v>
      </c>
      <c r="IC30" s="224">
        <v>1689.6058186605342</v>
      </c>
      <c r="ID30" s="224">
        <v>1843.0834928403003</v>
      </c>
      <c r="IE30" s="224">
        <v>1987.3244150900096</v>
      </c>
      <c r="IF30" s="224">
        <v>2032.3883827959633</v>
      </c>
      <c r="IG30" s="224">
        <v>1935.5493823864847</v>
      </c>
      <c r="IH30" s="224">
        <v>1870.0456184796863</v>
      </c>
      <c r="II30" s="224">
        <v>2162.5881683671755</v>
      </c>
      <c r="IJ30" s="224">
        <v>1907.8017901630394</v>
      </c>
      <c r="IK30" s="224">
        <v>2306.137768836099</v>
      </c>
      <c r="IL30" s="224">
        <v>2038.3931004562064</v>
      </c>
      <c r="IM30" s="224">
        <v>2152.6010571997294</v>
      </c>
      <c r="IN30" s="224">
        <v>2042.2455169959198</v>
      </c>
      <c r="IO30" s="224">
        <v>2300.8115576121468</v>
      </c>
      <c r="IP30" s="224">
        <v>2446.7014147406262</v>
      </c>
      <c r="IQ30" s="224">
        <v>2538.4262944290249</v>
      </c>
      <c r="IR30" s="224">
        <v>2194.6179116904696</v>
      </c>
      <c r="IS30" s="224">
        <v>2341.0529102885853</v>
      </c>
      <c r="IT30" s="224">
        <v>2785.5761561218355</v>
      </c>
      <c r="IU30" s="224">
        <v>3697.5830271177956</v>
      </c>
      <c r="IV30" s="224">
        <v>4187.2553269537539</v>
      </c>
      <c r="IW30" s="224">
        <v>4789.4639607119507</v>
      </c>
      <c r="IX30" s="224">
        <v>5190.7079427447397</v>
      </c>
      <c r="IY30" s="224">
        <v>6535.4418564921052</v>
      </c>
      <c r="IZ30" s="224">
        <v>6685.4442902764376</v>
      </c>
      <c r="JA30" s="224">
        <v>8828.6722462271937</v>
      </c>
      <c r="JB30" s="224">
        <v>8151.2198660908489</v>
      </c>
      <c r="JC30" s="224">
        <v>7934.5889426504773</v>
      </c>
      <c r="JD30" s="224">
        <v>7892.5181550658026</v>
      </c>
      <c r="JE30" s="224">
        <v>6665.4121604025868</v>
      </c>
      <c r="JF30" s="224">
        <v>7547.1084035181493</v>
      </c>
      <c r="JG30" s="224">
        <v>7444.9573967766682</v>
      </c>
      <c r="JH30" s="224">
        <v>8593.273562932136</v>
      </c>
      <c r="JI30" s="224">
        <v>9268.6231249429184</v>
      </c>
      <c r="JJ30" s="224">
        <v>9227.75916985404</v>
      </c>
      <c r="JK30" s="224"/>
      <c r="JL30" s="224"/>
      <c r="JM30" s="224"/>
      <c r="JN30" s="224"/>
      <c r="JO30" s="224"/>
      <c r="JP30" s="224"/>
    </row>
    <row r="31" spans="1:276" s="225" customFormat="1" ht="14" customHeight="1">
      <c r="A31" s="217" t="s">
        <v>723</v>
      </c>
      <c r="B31" s="217" t="s">
        <v>724</v>
      </c>
      <c r="C31" s="217">
        <v>23</v>
      </c>
      <c r="D31" s="217" t="s">
        <v>541</v>
      </c>
      <c r="E31" s="218">
        <v>639.62893606960142</v>
      </c>
      <c r="F31" s="218">
        <v>937.81288661631481</v>
      </c>
      <c r="G31" s="218">
        <v>893.56962971168741</v>
      </c>
      <c r="H31" s="218">
        <v>674.88208292800653</v>
      </c>
      <c r="I31" s="218">
        <v>597.68768211114264</v>
      </c>
      <c r="J31" s="218">
        <v>667.03140558909115</v>
      </c>
      <c r="K31" s="218">
        <v>609.67613909622162</v>
      </c>
      <c r="L31" s="218">
        <v>654.10498698514891</v>
      </c>
      <c r="M31" s="218">
        <v>627.78599890998385</v>
      </c>
      <c r="N31" s="218">
        <v>543.18522078403396</v>
      </c>
      <c r="O31" s="218">
        <v>594.51439279244141</v>
      </c>
      <c r="P31" s="218">
        <v>698.932114713739</v>
      </c>
      <c r="Q31" s="218">
        <v>555.50633190038275</v>
      </c>
      <c r="R31" s="218">
        <v>707.43031546328689</v>
      </c>
      <c r="S31" s="218">
        <v>758.68209491499704</v>
      </c>
      <c r="T31" s="218">
        <v>829.75516687563356</v>
      </c>
      <c r="U31" s="218">
        <v>853.78110285691491</v>
      </c>
      <c r="V31" s="218">
        <v>755.80479856760473</v>
      </c>
      <c r="W31" s="218">
        <v>818.91356669730385</v>
      </c>
      <c r="X31" s="218">
        <v>870.01568667139622</v>
      </c>
      <c r="Y31" s="218">
        <v>1051.6006908670097</v>
      </c>
      <c r="Z31" s="218">
        <v>1181.2644583746503</v>
      </c>
      <c r="AA31" s="218">
        <v>1283.6222114392638</v>
      </c>
      <c r="AB31" s="218">
        <v>1842.4746499881876</v>
      </c>
      <c r="AC31" s="218">
        <v>1739.0732325410227</v>
      </c>
      <c r="AD31" s="218">
        <v>1796.3786683364792</v>
      </c>
      <c r="AE31" s="218">
        <v>1990.5293405469274</v>
      </c>
      <c r="AF31" s="218">
        <v>2021.8552918286302</v>
      </c>
      <c r="AG31" s="218">
        <v>1563.6906168813853</v>
      </c>
      <c r="AH31" s="218">
        <v>1014.2126273120028</v>
      </c>
      <c r="AI31" s="218">
        <v>1150.1950855212244</v>
      </c>
      <c r="AJ31" s="218">
        <v>726.10302061873642</v>
      </c>
      <c r="AK31" s="218">
        <v>820.57707073733991</v>
      </c>
      <c r="AL31" s="218">
        <v>821.09655450603464</v>
      </c>
      <c r="AM31" s="218">
        <v>759.43700409349208</v>
      </c>
      <c r="AN31" s="218">
        <v>720.40514017834334</v>
      </c>
      <c r="AO31" s="218">
        <v>711.62004144432717</v>
      </c>
      <c r="AP31" s="218">
        <v>710.87856439320115</v>
      </c>
      <c r="AQ31" s="218">
        <v>673.47200458606801</v>
      </c>
      <c r="AR31" s="218">
        <v>625.59934706829824</v>
      </c>
      <c r="AS31" s="218">
        <v>566.84579736469959</v>
      </c>
      <c r="AT31" s="218">
        <v>17166.669552217401</v>
      </c>
      <c r="AU31" s="218">
        <v>18664.030443353204</v>
      </c>
      <c r="AV31" s="218">
        <v>21799.461449104288</v>
      </c>
      <c r="AW31" s="218">
        <v>17289.755269207617</v>
      </c>
      <c r="AX31" s="218">
        <v>22133.623500778463</v>
      </c>
      <c r="AY31" s="218">
        <v>23962.162568506919</v>
      </c>
      <c r="AZ31" s="218">
        <v>27117.248145207384</v>
      </c>
      <c r="BA31" s="218">
        <v>28428.906716974088</v>
      </c>
      <c r="BB31" s="218">
        <v>25913.401836976511</v>
      </c>
      <c r="BC31" s="218">
        <v>28334.032624454485</v>
      </c>
      <c r="BD31" s="218">
        <v>30722.308061958491</v>
      </c>
      <c r="BE31" s="218">
        <v>35328.010516735754</v>
      </c>
      <c r="BF31" s="218">
        <v>38461.800959097985</v>
      </c>
      <c r="BG31" s="218">
        <v>40697.672392664965</v>
      </c>
      <c r="BH31" s="218">
        <v>57530.23890162789</v>
      </c>
      <c r="BI31" s="218">
        <v>54580.465906574558</v>
      </c>
      <c r="BJ31" s="218">
        <v>55475.244525605849</v>
      </c>
      <c r="BK31" s="218">
        <v>61386.176741724928</v>
      </c>
      <c r="BL31" s="218">
        <v>63096.018966751923</v>
      </c>
      <c r="BM31" s="218">
        <v>50186.549348195433</v>
      </c>
      <c r="BN31" s="218">
        <v>32862.082152664909</v>
      </c>
      <c r="BO31" s="218">
        <v>37338.113112287836</v>
      </c>
      <c r="BP31" s="218">
        <v>23348.577941298554</v>
      </c>
      <c r="BQ31" s="218">
        <v>26469.091915513927</v>
      </c>
      <c r="BR31" s="218">
        <v>25715.366831854881</v>
      </c>
      <c r="BS31" s="218">
        <v>24630.827157464595</v>
      </c>
      <c r="BT31" s="218">
        <v>25047.203164336472</v>
      </c>
      <c r="BU31" s="218">
        <v>26217.20962977067</v>
      </c>
      <c r="BV31" s="218">
        <v>29097.873899454171</v>
      </c>
      <c r="BW31" s="218">
        <v>28164.348128456</v>
      </c>
      <c r="BX31" s="218">
        <v>29255.330022587394</v>
      </c>
      <c r="BY31" s="218">
        <v>26309.221542987761</v>
      </c>
      <c r="BZ31" s="218">
        <v>26770.596471595618</v>
      </c>
      <c r="CA31" s="218">
        <v>26338.634603354625</v>
      </c>
      <c r="CB31" s="218">
        <v>27336.956348340835</v>
      </c>
      <c r="CC31" s="218">
        <v>29244.135261173418</v>
      </c>
      <c r="CD31" s="219">
        <v>3199.4589626127095</v>
      </c>
      <c r="CE31" s="219">
        <v>3457.202266688043</v>
      </c>
      <c r="CF31" s="219">
        <v>3209.6398261194854</v>
      </c>
      <c r="CG31" s="219">
        <v>3644.6442906426669</v>
      </c>
      <c r="CH31" s="219">
        <v>3922.4993969867446</v>
      </c>
      <c r="CI31" s="219">
        <v>4229.977354079947</v>
      </c>
      <c r="CJ31" s="219">
        <v>4213.2314087393852</v>
      </c>
      <c r="CK31" s="219">
        <v>5134.3311808379422</v>
      </c>
      <c r="CL31" s="219">
        <v>5613.7880614317892</v>
      </c>
      <c r="CM31" s="219">
        <v>6046.9402230366804</v>
      </c>
      <c r="CN31" s="219">
        <v>7468.8823417485273</v>
      </c>
      <c r="CO31" s="219">
        <v>7485.8420934947781</v>
      </c>
      <c r="CP31" s="219">
        <v>7911.2394331023797</v>
      </c>
      <c r="CQ31" s="219">
        <v>8235.9844897571311</v>
      </c>
      <c r="CR31" s="219">
        <v>7464.5837844240541</v>
      </c>
      <c r="CS31" s="219">
        <v>7690.4338008735103</v>
      </c>
      <c r="CT31" s="219">
        <v>8306.9536724416575</v>
      </c>
      <c r="CU31" s="219">
        <v>8699.1774375636396</v>
      </c>
      <c r="CV31" s="219">
        <v>9959.5666793235887</v>
      </c>
      <c r="CW31" s="219">
        <v>9494.7220636475504</v>
      </c>
      <c r="CX31" s="219">
        <v>9602.5406390008648</v>
      </c>
      <c r="CY31" s="219">
        <v>9964.2477486260887</v>
      </c>
      <c r="CZ31" s="219">
        <v>9853.1318370397294</v>
      </c>
      <c r="DA31" s="219">
        <v>9481.4931487112281</v>
      </c>
      <c r="DB31" s="219">
        <v>9254.5521363879361</v>
      </c>
      <c r="DC31" s="219">
        <v>8563.4668156365642</v>
      </c>
      <c r="DD31" s="219">
        <v>7712.9625375994374</v>
      </c>
      <c r="DE31" s="219">
        <v>8796.8686189903037</v>
      </c>
      <c r="DF31" s="219">
        <v>8803.8197127721432</v>
      </c>
      <c r="DG31" s="219">
        <v>30983.828086534544</v>
      </c>
      <c r="DH31" s="219">
        <v>29821.781420225114</v>
      </c>
      <c r="DI31" s="219">
        <v>27251.710065138686</v>
      </c>
      <c r="DJ31" s="219">
        <v>27726.844510441279</v>
      </c>
      <c r="DK31" s="219">
        <v>29202.820840456967</v>
      </c>
      <c r="DL31" s="219">
        <v>29097.873899454171</v>
      </c>
      <c r="DM31" s="219">
        <v>28164.348128456</v>
      </c>
      <c r="DN31" s="219">
        <v>29255.330022587394</v>
      </c>
      <c r="DO31" s="219">
        <v>26309.221542987761</v>
      </c>
      <c r="DP31" s="219">
        <v>26770.596471595618</v>
      </c>
      <c r="DQ31" s="219">
        <v>26338.634603354625</v>
      </c>
      <c r="DR31" s="219">
        <v>27336.956348340835</v>
      </c>
      <c r="DS31" s="219">
        <v>29244.135261173418</v>
      </c>
      <c r="DT31" s="220">
        <v>0.61024587455010759</v>
      </c>
      <c r="DU31" s="220">
        <v>0.58153382129040598</v>
      </c>
      <c r="DV31" s="220">
        <v>0.55508034552131835</v>
      </c>
      <c r="DW31" s="220">
        <v>0.55951190287064656</v>
      </c>
      <c r="DX31" s="220">
        <v>0.57228235439905062</v>
      </c>
      <c r="DY31" s="220">
        <v>0.5675539173449905</v>
      </c>
      <c r="DZ31" s="220">
        <v>0.57963376013766887</v>
      </c>
      <c r="EA31" s="220">
        <v>0.62438169482940453</v>
      </c>
      <c r="EB31" s="220">
        <v>0.59411281643975078</v>
      </c>
      <c r="EC31" s="220">
        <v>0.66342846026842595</v>
      </c>
      <c r="ED31" s="220">
        <v>0.63061668741160171</v>
      </c>
      <c r="EE31" s="220">
        <v>0.63278679172326857</v>
      </c>
      <c r="EF31" s="220">
        <v>0.64335925091219603</v>
      </c>
      <c r="EG31" s="221">
        <v>12560</v>
      </c>
      <c r="EH31" s="221">
        <v>10401</v>
      </c>
      <c r="EI31" s="221">
        <v>21328</v>
      </c>
      <c r="EJ31" s="221">
        <v>20399.47</v>
      </c>
      <c r="EK31" s="221">
        <v>33065.800000000003</v>
      </c>
      <c r="EL31" s="221">
        <v>19280.03</v>
      </c>
      <c r="EM31" s="221">
        <v>15366</v>
      </c>
      <c r="EN31" s="221">
        <v>19719</v>
      </c>
      <c r="EO31" s="222">
        <v>0.1</v>
      </c>
      <c r="EP31" s="222">
        <v>0.1</v>
      </c>
      <c r="EQ31" s="222">
        <v>0.1</v>
      </c>
      <c r="ER31" s="222">
        <v>0.1</v>
      </c>
      <c r="ES31" s="222">
        <v>0.2</v>
      </c>
      <c r="ET31" s="222">
        <v>0.2</v>
      </c>
      <c r="EU31" s="222">
        <v>0.2</v>
      </c>
      <c r="EV31" s="222">
        <v>0.2</v>
      </c>
      <c r="EW31" s="222">
        <v>0.2</v>
      </c>
      <c r="EX31" s="222">
        <v>0.2</v>
      </c>
      <c r="EY31" s="222">
        <v>0.2</v>
      </c>
      <c r="EZ31" s="222">
        <v>0.3</v>
      </c>
      <c r="FA31" s="222">
        <v>0.4</v>
      </c>
      <c r="FB31" s="222">
        <v>0.5</v>
      </c>
      <c r="FC31" s="222">
        <v>0.7</v>
      </c>
      <c r="FD31" s="223">
        <v>0.8</v>
      </c>
      <c r="FE31" s="223">
        <v>0.8</v>
      </c>
      <c r="FF31" s="223">
        <v>1</v>
      </c>
      <c r="FG31" s="223">
        <v>1.1000000000000001</v>
      </c>
      <c r="FH31" s="223">
        <v>1</v>
      </c>
      <c r="FI31" s="223">
        <v>0.7</v>
      </c>
      <c r="FJ31" s="223">
        <v>0.8</v>
      </c>
      <c r="FK31" s="223">
        <v>0.5</v>
      </c>
      <c r="FL31" s="223">
        <v>0.5</v>
      </c>
      <c r="FM31" s="223">
        <v>0.5</v>
      </c>
      <c r="FN31" s="223">
        <v>0.5</v>
      </c>
      <c r="FO31" s="223">
        <v>0.5</v>
      </c>
      <c r="FP31" s="223">
        <v>0.5</v>
      </c>
      <c r="FQ31" s="223">
        <v>0.7</v>
      </c>
      <c r="FR31" s="223">
        <v>0.7</v>
      </c>
      <c r="FS31" s="223">
        <v>0.7</v>
      </c>
      <c r="FT31" s="223">
        <v>0.8</v>
      </c>
      <c r="FU31" s="223">
        <v>0.7</v>
      </c>
      <c r="FV31" s="223">
        <v>0.8</v>
      </c>
      <c r="FW31" s="223">
        <v>0.8</v>
      </c>
      <c r="FX31" s="223">
        <v>0.7</v>
      </c>
      <c r="FY31" s="223">
        <v>0.7</v>
      </c>
      <c r="FZ31" s="223">
        <v>0.6</v>
      </c>
      <c r="GA31" s="223" t="s">
        <v>3468</v>
      </c>
      <c r="GB31" s="223" t="s">
        <v>3468</v>
      </c>
      <c r="GC31" s="223" t="s">
        <v>3468</v>
      </c>
      <c r="GD31" s="223" t="s">
        <v>3468</v>
      </c>
      <c r="GE31" s="223" t="s">
        <v>3468</v>
      </c>
      <c r="GF31" s="223" t="s">
        <v>3468</v>
      </c>
      <c r="GG31" s="223">
        <v>95.479382812500006</v>
      </c>
      <c r="GH31" s="223">
        <v>99.901812500000005</v>
      </c>
      <c r="GI31" s="223">
        <v>102.28915625</v>
      </c>
      <c r="GJ31" s="223">
        <v>108.0646796875</v>
      </c>
      <c r="GK31" s="223">
        <v>226.07745312500001</v>
      </c>
      <c r="GL31" s="223">
        <v>223.28731250000001</v>
      </c>
      <c r="GM31" s="223">
        <v>220.64054687500001</v>
      </c>
      <c r="GN31" s="223">
        <v>229.68821875</v>
      </c>
      <c r="GO31" s="223">
        <v>222.59584375</v>
      </c>
      <c r="GP31" s="223">
        <v>243.09342187500002</v>
      </c>
      <c r="GQ31" s="223">
        <v>257.31339062500001</v>
      </c>
      <c r="GR31" s="223">
        <v>382.78528125000003</v>
      </c>
      <c r="GS31" s="223">
        <v>510.64796875000002</v>
      </c>
      <c r="GT31" s="223">
        <v>697.51382812500003</v>
      </c>
      <c r="GU31" s="223">
        <v>1042.9622656249999</v>
      </c>
      <c r="GV31" s="223">
        <v>1143.5683750000001</v>
      </c>
      <c r="GW31" s="223">
        <v>1302.682875</v>
      </c>
      <c r="GX31" s="223">
        <v>1750.6509375000001</v>
      </c>
      <c r="GY31" s="223">
        <v>2019.6464062500002</v>
      </c>
      <c r="GZ31" s="223">
        <v>1805.0064062500001</v>
      </c>
      <c r="HA31" s="223">
        <v>1362.1629218749999</v>
      </c>
      <c r="HB31" s="223">
        <v>1871.87375</v>
      </c>
      <c r="HC31" s="223">
        <v>1408.5379687500001</v>
      </c>
      <c r="HD31" s="223">
        <v>1626.9282812500001</v>
      </c>
      <c r="HE31" s="223">
        <v>1897.3509375000001</v>
      </c>
      <c r="HF31" s="223">
        <v>2095.7956250000002</v>
      </c>
      <c r="HG31" s="223">
        <v>2688.4665625000002</v>
      </c>
      <c r="HH31" s="223">
        <v>2801.0362500000001</v>
      </c>
      <c r="HI31" s="223">
        <v>3954.4736874999994</v>
      </c>
      <c r="HJ31" s="223">
        <v>3716.1503749999997</v>
      </c>
      <c r="HK31" s="223">
        <v>3680.7736874999996</v>
      </c>
      <c r="HL31" s="223">
        <v>3928.9392499999999</v>
      </c>
      <c r="HM31" s="223">
        <v>3177.5078124999995</v>
      </c>
      <c r="HN31" s="223">
        <v>3834.0260000000003</v>
      </c>
      <c r="HO31" s="223">
        <v>4138.4714999999997</v>
      </c>
      <c r="HP31" s="223">
        <v>3896.5526249999998</v>
      </c>
      <c r="HQ31" s="223">
        <v>4244.1743749999996</v>
      </c>
      <c r="HR31" s="223">
        <v>3961.9076250000003</v>
      </c>
      <c r="HS31" s="223" t="e">
        <v>#VALUE!</v>
      </c>
      <c r="HT31" s="223" t="e">
        <v>#VALUE!</v>
      </c>
      <c r="HU31" s="223" t="e">
        <v>#VALUE!</v>
      </c>
      <c r="HV31" s="223" t="e">
        <v>#VALUE!</v>
      </c>
      <c r="HW31" s="223" t="e">
        <v>#VALUE!</v>
      </c>
      <c r="HX31" s="223" t="e">
        <v>#VALUE!</v>
      </c>
      <c r="HY31" s="224">
        <v>6097.8019422978668</v>
      </c>
      <c r="HZ31" s="224">
        <v>5936.642054908486</v>
      </c>
      <c r="IA31" s="224">
        <v>5683.3623874874984</v>
      </c>
      <c r="IB31" s="224">
        <v>5637.7650087385227</v>
      </c>
      <c r="IC31" s="224">
        <v>11116.012052561708</v>
      </c>
      <c r="ID31" s="224">
        <v>10381.593476845825</v>
      </c>
      <c r="IE31" s="224">
        <v>9729.2771353293938</v>
      </c>
      <c r="IF31" s="224">
        <v>9631.3409405400871</v>
      </c>
      <c r="IG31" s="224">
        <v>8897.4276021264686</v>
      </c>
      <c r="IH31" s="224">
        <v>9282.6264653658181</v>
      </c>
      <c r="II31" s="224">
        <v>9405.4167199722197</v>
      </c>
      <c r="IJ31" s="224">
        <v>12277.738291100202</v>
      </c>
      <c r="IK31" s="224">
        <v>14591.457808302599</v>
      </c>
      <c r="IL31" s="224">
        <v>17969.960955720191</v>
      </c>
      <c r="IM31" s="224">
        <v>24462.740564164978</v>
      </c>
      <c r="IN31" s="224">
        <v>24617.269022505727</v>
      </c>
      <c r="IO31" s="224">
        <v>25912.130109525195</v>
      </c>
      <c r="IP31" s="224">
        <v>32364.159248771077</v>
      </c>
      <c r="IQ31" s="224">
        <v>34874.730849881082</v>
      </c>
      <c r="IR31" s="224">
        <v>29240.042274147312</v>
      </c>
      <c r="IS31" s="224">
        <v>20780.575193587876</v>
      </c>
      <c r="IT31" s="224">
        <v>26984.297741065893</v>
      </c>
      <c r="IU31" s="224">
        <v>19412.900910045646</v>
      </c>
      <c r="IV31" s="224">
        <v>21479.132258273195</v>
      </c>
      <c r="IW31" s="224">
        <v>24037.669417121488</v>
      </c>
      <c r="IX31" s="224">
        <v>25521.073073372936</v>
      </c>
      <c r="IY31" s="224">
        <v>31514.823492521216</v>
      </c>
      <c r="IZ31" s="224">
        <v>31651.629229861755</v>
      </c>
      <c r="JA31" s="224">
        <v>43131.745344859926</v>
      </c>
      <c r="JB31" s="224">
        <v>39170.396715975519</v>
      </c>
      <c r="JC31" s="224">
        <v>37536.240225292473</v>
      </c>
      <c r="JD31" s="224">
        <v>38805.48806384387</v>
      </c>
      <c r="JE31" s="224">
        <v>30304.630769858755</v>
      </c>
      <c r="JF31" s="224">
        <v>35350.511684583376</v>
      </c>
      <c r="JG31" s="224">
        <v>36929.974093960096</v>
      </c>
      <c r="JH31" s="224">
        <v>33687.418565342552</v>
      </c>
      <c r="JI31" s="224">
        <v>35583.664876349743</v>
      </c>
      <c r="JJ31" s="224">
        <v>32242.524983860054</v>
      </c>
      <c r="JK31" s="224"/>
      <c r="JL31" s="224"/>
      <c r="JM31" s="224"/>
      <c r="JN31" s="224"/>
      <c r="JO31" s="224"/>
      <c r="JP31" s="224"/>
    </row>
    <row r="32" spans="1:276" s="225" customFormat="1" ht="14" customHeight="1">
      <c r="A32" s="217" t="s">
        <v>725</v>
      </c>
      <c r="B32" s="217" t="s">
        <v>726</v>
      </c>
      <c r="C32" s="217">
        <v>24</v>
      </c>
      <c r="D32" s="217" t="s">
        <v>664</v>
      </c>
      <c r="E32" s="218">
        <v>148.68618672128383</v>
      </c>
      <c r="F32" s="218">
        <v>146.47850170908001</v>
      </c>
      <c r="G32" s="218">
        <v>143.15300184098092</v>
      </c>
      <c r="H32" s="218">
        <v>158.06330921022754</v>
      </c>
      <c r="I32" s="218">
        <v>172.72634486039465</v>
      </c>
      <c r="J32" s="218">
        <v>174.02266517092497</v>
      </c>
      <c r="K32" s="218">
        <v>178.81396251178649</v>
      </c>
      <c r="L32" s="218">
        <v>186.69122730083984</v>
      </c>
      <c r="M32" s="218">
        <v>202.84386095218127</v>
      </c>
      <c r="N32" s="218">
        <v>213.98593266872012</v>
      </c>
      <c r="O32" s="218">
        <v>225.58771790633168</v>
      </c>
      <c r="P32" s="218">
        <v>242.47906030822676</v>
      </c>
      <c r="Q32" s="218">
        <v>281.59668982428911</v>
      </c>
      <c r="R32" s="218">
        <v>288.54964048548794</v>
      </c>
      <c r="S32" s="218">
        <v>282.13138475108531</v>
      </c>
      <c r="T32" s="218">
        <v>279.86092090158257</v>
      </c>
      <c r="U32" s="218">
        <v>294.68996450884487</v>
      </c>
      <c r="V32" s="218">
        <v>267.1070405395451</v>
      </c>
      <c r="W32" s="218">
        <v>268.93489467346211</v>
      </c>
      <c r="X32" s="218">
        <v>289.05730910057923</v>
      </c>
      <c r="Y32" s="218">
        <v>266.0590015522701</v>
      </c>
      <c r="Z32" s="218">
        <v>267.9606253372483</v>
      </c>
      <c r="AA32" s="218">
        <v>275.18149572855134</v>
      </c>
      <c r="AB32" s="218">
        <v>272.37172127253615</v>
      </c>
      <c r="AC32" s="218">
        <v>244.39138419351099</v>
      </c>
      <c r="AD32" s="218">
        <v>248.25146437073781</v>
      </c>
      <c r="AE32" s="218">
        <v>256.12211792695251</v>
      </c>
      <c r="AF32" s="218">
        <v>250.25427017208909</v>
      </c>
      <c r="AG32" s="218">
        <v>193.4506899347281</v>
      </c>
      <c r="AH32" s="218">
        <v>205.48394008191894</v>
      </c>
      <c r="AI32" s="218">
        <v>237.26407899844</v>
      </c>
      <c r="AJ32" s="218">
        <v>252.07864976481875</v>
      </c>
      <c r="AK32" s="218">
        <v>264.2897671731368</v>
      </c>
      <c r="AL32" s="218">
        <v>283.87468710240864</v>
      </c>
      <c r="AM32" s="218">
        <v>269.24866350192332</v>
      </c>
      <c r="AN32" s="218">
        <v>272.25938004209689</v>
      </c>
      <c r="AO32" s="218">
        <v>281.11167578693204</v>
      </c>
      <c r="AP32" s="218">
        <v>285.12126206652749</v>
      </c>
      <c r="AQ32" s="218">
        <v>273.31668021773118</v>
      </c>
      <c r="AR32" s="218">
        <v>259.33214021899323</v>
      </c>
      <c r="AS32" s="218">
        <v>241.60964995333873</v>
      </c>
      <c r="AT32" s="218">
        <v>6762.7498952286187</v>
      </c>
      <c r="AU32" s="218">
        <v>7127.1615500036432</v>
      </c>
      <c r="AV32" s="218">
        <v>7627.7537949284033</v>
      </c>
      <c r="AW32" s="218">
        <v>8827.5094304094091</v>
      </c>
      <c r="AX32" s="218">
        <v>9052.0924070093606</v>
      </c>
      <c r="AY32" s="218">
        <v>8870.4160054667318</v>
      </c>
      <c r="AZ32" s="218">
        <v>9017.5730933072064</v>
      </c>
      <c r="BA32" s="218">
        <v>9561.6508462048241</v>
      </c>
      <c r="BB32" s="218">
        <v>8803.0545414116514</v>
      </c>
      <c r="BC32" s="218">
        <v>8808.3222959929008</v>
      </c>
      <c r="BD32" s="218">
        <v>9500.9256202761972</v>
      </c>
      <c r="BE32" s="218">
        <v>8759.2526617581625</v>
      </c>
      <c r="BF32" s="218">
        <v>8869.08757270969</v>
      </c>
      <c r="BG32" s="218">
        <v>9092.4482394069964</v>
      </c>
      <c r="BH32" s="218">
        <v>9000.4452553917581</v>
      </c>
      <c r="BI32" s="218">
        <v>8178.7704083943036</v>
      </c>
      <c r="BJ32" s="218">
        <v>8182.7521235091035</v>
      </c>
      <c r="BK32" s="218">
        <v>8391.817443355656</v>
      </c>
      <c r="BL32" s="218">
        <v>8219.7550398769072</v>
      </c>
      <c r="BM32" s="218">
        <v>6446.7928501501656</v>
      </c>
      <c r="BN32" s="218">
        <v>6795.3244038591256</v>
      </c>
      <c r="BO32" s="218">
        <v>7702.1655983793316</v>
      </c>
      <c r="BP32" s="218">
        <v>8144.7482927490501</v>
      </c>
      <c r="BQ32" s="218">
        <v>8593.3640752710671</v>
      </c>
      <c r="BR32" s="218">
        <v>8977.1948378565958</v>
      </c>
      <c r="BS32" s="218">
        <v>8821.3133179299693</v>
      </c>
      <c r="BT32" s="218">
        <v>9115.0452254581614</v>
      </c>
      <c r="BU32" s="218">
        <v>9571.3808507606082</v>
      </c>
      <c r="BV32" s="218">
        <v>6502.5581819094004</v>
      </c>
      <c r="BW32" s="218">
        <v>6265.4682016503639</v>
      </c>
      <c r="BX32" s="218">
        <v>6026.8610262740922</v>
      </c>
      <c r="BY32" s="218">
        <v>5931.7857820652553</v>
      </c>
      <c r="BZ32" s="218">
        <v>5155.4148200976351</v>
      </c>
      <c r="CA32" s="218">
        <v>5362.7678672581478</v>
      </c>
      <c r="CB32" s="218">
        <v>5628.3105255344681</v>
      </c>
      <c r="CC32" s="218">
        <v>6031.0401163342603</v>
      </c>
      <c r="CD32" s="219">
        <v>5464.0545236350908</v>
      </c>
      <c r="CE32" s="219">
        <v>5687.5795407309424</v>
      </c>
      <c r="CF32" s="219">
        <v>5273.2140072733537</v>
      </c>
      <c r="CG32" s="219">
        <v>5460.1668877876446</v>
      </c>
      <c r="CH32" s="219">
        <v>5436.7134797550098</v>
      </c>
      <c r="CI32" s="219">
        <v>4672.2690556406797</v>
      </c>
      <c r="CJ32" s="219">
        <v>4508.111775182846</v>
      </c>
      <c r="CK32" s="219">
        <v>4531.7774706053933</v>
      </c>
      <c r="CL32" s="219">
        <v>4747.3231136313079</v>
      </c>
      <c r="CM32" s="219">
        <v>4247.1363455474702</v>
      </c>
      <c r="CN32" s="219">
        <v>4461.6049830033562</v>
      </c>
      <c r="CO32" s="219">
        <v>4579.5676586036452</v>
      </c>
      <c r="CP32" s="219">
        <v>4375.2662032406015</v>
      </c>
      <c r="CQ32" s="219">
        <v>3760.2574963826123</v>
      </c>
      <c r="CR32" s="219">
        <v>3549.8387956781135</v>
      </c>
      <c r="CS32" s="219">
        <v>3851.4576218570969</v>
      </c>
      <c r="CT32" s="219">
        <v>3977.6321107347271</v>
      </c>
      <c r="CU32" s="219">
        <v>4233.887756423107</v>
      </c>
      <c r="CV32" s="219">
        <v>4106.5671012486837</v>
      </c>
      <c r="CW32" s="219">
        <v>4371.9187439659372</v>
      </c>
      <c r="CX32" s="219">
        <v>4735.570930178249</v>
      </c>
      <c r="CY32" s="219">
        <v>5361.1051599532984</v>
      </c>
      <c r="CZ32" s="219">
        <v>5906.7874070530779</v>
      </c>
      <c r="DA32" s="219">
        <v>5691.3192748652054</v>
      </c>
      <c r="DB32" s="219">
        <v>5520.7329227172622</v>
      </c>
      <c r="DC32" s="219">
        <v>5214.5358301034248</v>
      </c>
      <c r="DD32" s="219">
        <v>4604.6353005138999</v>
      </c>
      <c r="DE32" s="219">
        <v>5071.4886444478943</v>
      </c>
      <c r="DF32" s="219">
        <v>5553.9818171707966</v>
      </c>
      <c r="DG32" s="219">
        <v>5993.5853109356703</v>
      </c>
      <c r="DH32" s="219">
        <v>6128.8538608857807</v>
      </c>
      <c r="DI32" s="219">
        <v>5995.9563503760555</v>
      </c>
      <c r="DJ32" s="219">
        <v>6099.3939978236413</v>
      </c>
      <c r="DK32" s="219">
        <v>6432.0235981391606</v>
      </c>
      <c r="DL32" s="219">
        <v>6502.5581819094004</v>
      </c>
      <c r="DM32" s="219">
        <v>6265.4682016503639</v>
      </c>
      <c r="DN32" s="219">
        <v>6026.8610262740922</v>
      </c>
      <c r="DO32" s="219">
        <v>5931.7857820652553</v>
      </c>
      <c r="DP32" s="219">
        <v>5155.4148200976351</v>
      </c>
      <c r="DQ32" s="219">
        <v>5362.7678672581478</v>
      </c>
      <c r="DR32" s="219">
        <v>5628.3105255344681</v>
      </c>
      <c r="DS32" s="219">
        <v>6031.0401163342603</v>
      </c>
      <c r="DT32" s="220">
        <v>1.8458666839877031</v>
      </c>
      <c r="DU32" s="220">
        <v>1.8253471197881708</v>
      </c>
      <c r="DV32" s="220">
        <v>1.8243225503963962</v>
      </c>
      <c r="DW32" s="220">
        <v>1.8003576861668622</v>
      </c>
      <c r="DX32" s="220">
        <v>1.8074267765797194</v>
      </c>
      <c r="DY32" s="220">
        <v>1.7847001742917188</v>
      </c>
      <c r="DZ32" s="220">
        <v>1.7822103000202667</v>
      </c>
      <c r="EA32" s="220">
        <v>1.7477598906747234</v>
      </c>
      <c r="EB32" s="220">
        <v>1.7907527785971329</v>
      </c>
      <c r="EC32" s="220">
        <v>1.6706643413289324</v>
      </c>
      <c r="ED32" s="220">
        <v>1.6439688563986266</v>
      </c>
      <c r="EE32" s="220">
        <v>1.6348247659203989</v>
      </c>
      <c r="EF32" s="220">
        <v>1.633159297839978</v>
      </c>
      <c r="EG32" s="221">
        <v>3572</v>
      </c>
      <c r="EH32" s="221">
        <v>5448</v>
      </c>
      <c r="EI32" s="221">
        <v>6503</v>
      </c>
      <c r="EJ32" s="221">
        <v>4620.33</v>
      </c>
      <c r="EK32" s="221">
        <v>5809.47</v>
      </c>
      <c r="EL32" s="221">
        <v>4953.3900000000003</v>
      </c>
      <c r="EM32" s="221">
        <v>6617</v>
      </c>
      <c r="EN32" s="221">
        <v>4642</v>
      </c>
      <c r="EO32" s="222">
        <v>2</v>
      </c>
      <c r="EP32" s="222">
        <v>2.1</v>
      </c>
      <c r="EQ32" s="222">
        <v>2.2999999999999998</v>
      </c>
      <c r="ER32" s="222">
        <v>2.6</v>
      </c>
      <c r="ES32" s="222">
        <v>2.6</v>
      </c>
      <c r="ET32" s="222">
        <v>2.6</v>
      </c>
      <c r="EU32" s="222">
        <v>2.7</v>
      </c>
      <c r="EV32" s="222">
        <v>2.7</v>
      </c>
      <c r="EW32" s="222">
        <v>2.6</v>
      </c>
      <c r="EX32" s="222">
        <v>2.5</v>
      </c>
      <c r="EY32" s="222">
        <v>2.7</v>
      </c>
      <c r="EZ32" s="222">
        <v>2.7</v>
      </c>
      <c r="FA32" s="222">
        <v>2.8</v>
      </c>
      <c r="FB32" s="222">
        <v>2.8</v>
      </c>
      <c r="FC32" s="222">
        <v>2.8</v>
      </c>
      <c r="FD32" s="223">
        <v>2.7</v>
      </c>
      <c r="FE32" s="223">
        <v>2.6</v>
      </c>
      <c r="FF32" s="223">
        <v>2.7</v>
      </c>
      <c r="FG32" s="223">
        <v>2.7</v>
      </c>
      <c r="FH32" s="223">
        <v>2.2999999999999998</v>
      </c>
      <c r="FI32" s="223">
        <v>2.5</v>
      </c>
      <c r="FJ32" s="223">
        <v>2.7</v>
      </c>
      <c r="FK32" s="223">
        <v>2.6</v>
      </c>
      <c r="FL32" s="223">
        <v>2.6</v>
      </c>
      <c r="FM32" s="223">
        <v>2.7</v>
      </c>
      <c r="FN32" s="223">
        <v>2.7</v>
      </c>
      <c r="FO32" s="223">
        <v>2.7</v>
      </c>
      <c r="FP32" s="223">
        <v>2.7</v>
      </c>
      <c r="FQ32" s="223">
        <v>1.2</v>
      </c>
      <c r="FR32" s="223">
        <v>1.2</v>
      </c>
      <c r="FS32" s="223">
        <v>1.2</v>
      </c>
      <c r="FT32" s="223">
        <v>1.3</v>
      </c>
      <c r="FU32" s="223">
        <v>1.2</v>
      </c>
      <c r="FV32" s="223">
        <v>1.2</v>
      </c>
      <c r="FW32" s="223">
        <v>1.2</v>
      </c>
      <c r="FX32" s="223">
        <v>1.2</v>
      </c>
      <c r="FY32" s="223">
        <v>1.2</v>
      </c>
      <c r="FZ32" s="223">
        <v>1.1000000000000001</v>
      </c>
      <c r="GA32" s="223">
        <v>1.2</v>
      </c>
      <c r="GB32" s="223">
        <v>1.9</v>
      </c>
      <c r="GC32" s="223" t="s">
        <v>3468</v>
      </c>
      <c r="GD32" s="223" t="s">
        <v>3468</v>
      </c>
      <c r="GE32" s="223" t="s">
        <v>3468</v>
      </c>
      <c r="GF32" s="223" t="s">
        <v>3468</v>
      </c>
      <c r="GG32" s="223">
        <v>1909.58765625</v>
      </c>
      <c r="GH32" s="223">
        <v>2097.9380625000003</v>
      </c>
      <c r="GI32" s="223">
        <v>2352.6505937500001</v>
      </c>
      <c r="GJ32" s="223">
        <v>2809.6816718750001</v>
      </c>
      <c r="GK32" s="223">
        <v>2939.0068906250003</v>
      </c>
      <c r="GL32" s="223">
        <v>2902.7350625000004</v>
      </c>
      <c r="GM32" s="223">
        <v>2978.6473828125004</v>
      </c>
      <c r="GN32" s="223">
        <v>3100.7909531250002</v>
      </c>
      <c r="GO32" s="223">
        <v>2893.7459687500004</v>
      </c>
      <c r="GP32" s="223">
        <v>3038.6677734375003</v>
      </c>
      <c r="GQ32" s="223">
        <v>3473.7307734375004</v>
      </c>
      <c r="GR32" s="223">
        <v>3445.0675312500002</v>
      </c>
      <c r="GS32" s="223">
        <v>3574.5357812499997</v>
      </c>
      <c r="GT32" s="223">
        <v>3906.0774374999996</v>
      </c>
      <c r="GU32" s="223">
        <v>4171.8490624999995</v>
      </c>
      <c r="GV32" s="223">
        <v>3859.5432656250005</v>
      </c>
      <c r="GW32" s="223">
        <v>4233.71934375</v>
      </c>
      <c r="GX32" s="223">
        <v>4726.7575312500003</v>
      </c>
      <c r="GY32" s="223">
        <v>4957.3139062500004</v>
      </c>
      <c r="GZ32" s="223">
        <v>4151.5147343749995</v>
      </c>
      <c r="HA32" s="223">
        <v>4864.8675781250004</v>
      </c>
      <c r="HB32" s="223">
        <v>6317.5739062500006</v>
      </c>
      <c r="HC32" s="223">
        <v>7324.3974375000007</v>
      </c>
      <c r="HD32" s="223">
        <v>8460.0270625000012</v>
      </c>
      <c r="HE32" s="223">
        <v>10245.695062500001</v>
      </c>
      <c r="HF32" s="223">
        <v>11317.296375000002</v>
      </c>
      <c r="HG32" s="223">
        <v>14517.719437500002</v>
      </c>
      <c r="HH32" s="223">
        <v>15125.595750000002</v>
      </c>
      <c r="HI32" s="223">
        <v>6779.0977499999999</v>
      </c>
      <c r="HJ32" s="223">
        <v>6370.5434999999998</v>
      </c>
      <c r="HK32" s="223">
        <v>6309.8977500000001</v>
      </c>
      <c r="HL32" s="223">
        <v>6384.5262812500005</v>
      </c>
      <c r="HM32" s="223">
        <v>5447.15625</v>
      </c>
      <c r="HN32" s="223">
        <v>5751.0389999999998</v>
      </c>
      <c r="HO32" s="223">
        <v>6207.7072500000004</v>
      </c>
      <c r="HP32" s="223">
        <v>6679.8045000000002</v>
      </c>
      <c r="HQ32" s="223">
        <v>7275.7275</v>
      </c>
      <c r="HR32" s="223">
        <v>7263.4973125000006</v>
      </c>
      <c r="HS32" s="223">
        <v>8317.7377500000002</v>
      </c>
      <c r="HT32" s="223">
        <v>13160.0068125</v>
      </c>
      <c r="HU32" s="223" t="e">
        <v>#VALUE!</v>
      </c>
      <c r="HV32" s="223" t="e">
        <v>#VALUE!</v>
      </c>
      <c r="HW32" s="223" t="e">
        <v>#VALUE!</v>
      </c>
      <c r="HX32" s="223" t="e">
        <v>#VALUE!</v>
      </c>
      <c r="HY32" s="224">
        <v>2493.0579535929983</v>
      </c>
      <c r="HZ32" s="224">
        <v>2666.9903199885384</v>
      </c>
      <c r="IA32" s="224">
        <v>2914.2188098832085</v>
      </c>
      <c r="IB32" s="224">
        <v>3393.4587137467192</v>
      </c>
      <c r="IC32" s="224">
        <v>3463.1995441938111</v>
      </c>
      <c r="ID32" s="224">
        <v>3339.131116858975</v>
      </c>
      <c r="IE32" s="224">
        <v>3346.8782960794083</v>
      </c>
      <c r="IF32" s="224">
        <v>3405.0412647500884</v>
      </c>
      <c r="IG32" s="224">
        <v>3107.1566749495664</v>
      </c>
      <c r="IH32" s="224">
        <v>3191.9258592198398</v>
      </c>
      <c r="II32" s="224">
        <v>3571.3904451604121</v>
      </c>
      <c r="IJ32" s="224">
        <v>3486.7003018694568</v>
      </c>
      <c r="IK32" s="224">
        <v>3562.1959781620485</v>
      </c>
      <c r="IL32" s="224">
        <v>3833.7401285111737</v>
      </c>
      <c r="IM32" s="224">
        <v>4033.6045277978774</v>
      </c>
      <c r="IN32" s="224">
        <v>3676.8841194063671</v>
      </c>
      <c r="IO32" s="224">
        <v>3975.0161501604148</v>
      </c>
      <c r="IP32" s="224">
        <v>4374.6555082857094</v>
      </c>
      <c r="IQ32" s="224">
        <v>4523.5448569538921</v>
      </c>
      <c r="IR32" s="224">
        <v>3735.7419696905208</v>
      </c>
      <c r="IS32" s="224">
        <v>4317.8001413197208</v>
      </c>
      <c r="IT32" s="224">
        <v>5531.5175979879268</v>
      </c>
      <c r="IU32" s="224">
        <v>6296.5022588464753</v>
      </c>
      <c r="IV32" s="224">
        <v>7142.9270325319612</v>
      </c>
      <c r="IW32" s="224">
        <v>8498.8725034130057</v>
      </c>
      <c r="IX32" s="224">
        <v>9225.961057958586</v>
      </c>
      <c r="IY32" s="224">
        <v>11634.43808737297</v>
      </c>
      <c r="IZ32" s="224">
        <v>11919.616915055132</v>
      </c>
      <c r="JA32" s="224">
        <v>5254.6656479423236</v>
      </c>
      <c r="JB32" s="224">
        <v>4858.3603723398173</v>
      </c>
      <c r="JC32" s="224">
        <v>4735.7475705071174</v>
      </c>
      <c r="JD32" s="224">
        <v>4716.906455918217</v>
      </c>
      <c r="JE32" s="224">
        <v>3972.854555975674</v>
      </c>
      <c r="JF32" s="224">
        <v>4141.4705512547253</v>
      </c>
      <c r="JG32" s="224">
        <v>4414.5287584768384</v>
      </c>
      <c r="JH32" s="224">
        <v>4691.6907093587424</v>
      </c>
      <c r="JI32" s="224">
        <v>5048.0141294184186</v>
      </c>
      <c r="JJ32" s="224">
        <v>4978.8936319834356</v>
      </c>
      <c r="JK32" s="224">
        <v>5633.7572195373323</v>
      </c>
      <c r="JL32" s="224">
        <v>8808.7891405223363</v>
      </c>
      <c r="JM32" s="224"/>
      <c r="JN32" s="224"/>
      <c r="JO32" s="224"/>
      <c r="JP32" s="224"/>
    </row>
    <row r="33" spans="1:276" ht="14" customHeight="1">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55"/>
      <c r="DU33" s="55"/>
      <c r="DV33" s="55"/>
      <c r="DW33" s="55"/>
      <c r="DX33" s="55"/>
      <c r="DY33" s="55"/>
      <c r="DZ33" s="55"/>
      <c r="EA33" s="55"/>
      <c r="EB33" s="55"/>
      <c r="EC33" s="55"/>
      <c r="ED33" s="55"/>
      <c r="EE33" s="55"/>
      <c r="EF33" s="55"/>
      <c r="EG33" s="80"/>
      <c r="EH33" s="80"/>
      <c r="EI33" s="80"/>
      <c r="EJ33" s="80"/>
      <c r="EK33" s="11"/>
      <c r="EL33" s="11"/>
      <c r="EM33" s="11"/>
      <c r="EN33" s="11"/>
    </row>
    <row r="34" spans="1:276" ht="14" customHeight="1">
      <c r="A34" s="3" t="s">
        <v>727</v>
      </c>
      <c r="E34" s="55"/>
      <c r="F34" s="55"/>
      <c r="G34" s="55"/>
      <c r="H34" s="55"/>
      <c r="I34" s="55"/>
      <c r="J34" s="55"/>
      <c r="K34" s="55"/>
      <c r="L34" s="55"/>
      <c r="M34" s="55"/>
      <c r="N34" s="55">
        <v>345.73695443654259</v>
      </c>
      <c r="O34" s="55">
        <v>352.26733599567581</v>
      </c>
      <c r="P34" s="55">
        <v>352.40491600992124</v>
      </c>
      <c r="Q34" s="55">
        <v>358.57170252379166</v>
      </c>
      <c r="R34" s="55">
        <v>373.98595994338081</v>
      </c>
      <c r="S34" s="55">
        <v>364.30383774612795</v>
      </c>
      <c r="T34" s="55">
        <v>356.15255670457623</v>
      </c>
      <c r="U34" s="55">
        <v>372.32264350102855</v>
      </c>
      <c r="V34" s="55">
        <v>353.03431079193035</v>
      </c>
      <c r="W34" s="55">
        <v>371.32984132967476</v>
      </c>
      <c r="X34" s="55">
        <v>368.60435328313798</v>
      </c>
      <c r="Y34" s="55">
        <v>343.84191025884132</v>
      </c>
      <c r="Z34" s="55">
        <v>328.40275128044965</v>
      </c>
      <c r="AA34" s="55">
        <v>337.19073065167419</v>
      </c>
      <c r="AB34" s="55">
        <v>339.17209010329532</v>
      </c>
      <c r="AC34" s="55">
        <v>311.21741092818735</v>
      </c>
      <c r="AD34" s="55">
        <v>328.78464321071249</v>
      </c>
      <c r="AE34" s="55">
        <v>332.58620530650973</v>
      </c>
      <c r="AF34" s="55">
        <v>321.70865989065777</v>
      </c>
      <c r="AG34" s="55">
        <v>295.17750812787136</v>
      </c>
      <c r="AH34" s="55">
        <v>285.67840884415546</v>
      </c>
      <c r="AI34" s="55">
        <v>311.419149798832</v>
      </c>
      <c r="AJ34" s="55">
        <v>337.83716885315226</v>
      </c>
      <c r="AK34" s="55">
        <v>353.4941789450491</v>
      </c>
      <c r="AL34" s="55">
        <v>377.84684440225271</v>
      </c>
      <c r="AM34" s="55">
        <v>358.89675609454639</v>
      </c>
      <c r="AN34" s="55">
        <v>362.51510434328327</v>
      </c>
      <c r="AO34" s="55">
        <v>381.79582468436496</v>
      </c>
      <c r="AP34" s="55"/>
      <c r="AQ34" s="55"/>
      <c r="AR34" s="55"/>
      <c r="AS34" s="55"/>
      <c r="AT34" s="83">
        <v>10926.524543000005</v>
      </c>
      <c r="AU34" s="83">
        <v>11139.297336000003</v>
      </c>
      <c r="AV34" s="83">
        <v>11102.712620999999</v>
      </c>
      <c r="AW34" s="83">
        <v>11262.506470999999</v>
      </c>
      <c r="AX34" s="83">
        <v>11757.832153000001</v>
      </c>
      <c r="AY34" s="83">
        <v>11479.258701999996</v>
      </c>
      <c r="AZ34" s="83">
        <v>11499.546812999994</v>
      </c>
      <c r="BA34" s="83">
        <v>12101.966668000001</v>
      </c>
      <c r="BB34" s="83">
        <v>11650.470053999999</v>
      </c>
      <c r="BC34" s="83">
        <v>12171.299164</v>
      </c>
      <c r="BD34" s="83">
        <v>12116.411913000004</v>
      </c>
      <c r="BE34" s="83">
        <v>11319.037323</v>
      </c>
      <c r="BF34" s="83">
        <v>10867.208391000007</v>
      </c>
      <c r="BG34" s="83">
        <v>11137.671694000004</v>
      </c>
      <c r="BH34" s="83">
        <v>11203.303481000001</v>
      </c>
      <c r="BI34" s="83">
        <v>10410.468411</v>
      </c>
      <c r="BJ34" s="83">
        <v>10832.224516000004</v>
      </c>
      <c r="BK34" s="83">
        <v>10892.324693000002</v>
      </c>
      <c r="BL34" s="83">
        <v>10562.618015</v>
      </c>
      <c r="BM34" s="83">
        <v>9833.9467061999985</v>
      </c>
      <c r="BN34" s="83">
        <v>9445.7600002999989</v>
      </c>
      <c r="BO34" s="83">
        <v>10109.418468999998</v>
      </c>
      <c r="BP34" s="83">
        <v>10905.661614999997</v>
      </c>
      <c r="BQ34" s="83">
        <v>11471.770717999998</v>
      </c>
      <c r="BR34" s="83">
        <v>11912.957092000008</v>
      </c>
      <c r="BS34" s="83">
        <v>11709.227505999999</v>
      </c>
      <c r="BT34" s="83">
        <v>12118.013130000001</v>
      </c>
      <c r="BU34" s="83">
        <v>12778.251985999996</v>
      </c>
      <c r="BV34" s="83">
        <v>12201.882588820157</v>
      </c>
      <c r="BW34" s="83">
        <v>11939.418836047715</v>
      </c>
      <c r="BX34" s="83">
        <v>11780.428455216446</v>
      </c>
      <c r="BY34" s="83">
        <v>11430.349954800649</v>
      </c>
      <c r="BZ34" s="83">
        <v>10671.193768737265</v>
      </c>
      <c r="CA34" s="83">
        <v>11318.345437404158</v>
      </c>
      <c r="CB34" s="83">
        <v>11865.882433027195</v>
      </c>
      <c r="CC34" s="83">
        <v>12802.572251834645</v>
      </c>
      <c r="CD34" s="82">
        <v>6996.2549809250959</v>
      </c>
      <c r="CE34" s="82">
        <v>7310.7958374980808</v>
      </c>
      <c r="CF34" s="82">
        <v>6949.5960066284078</v>
      </c>
      <c r="CG34" s="82">
        <v>7305.1777283928259</v>
      </c>
      <c r="CH34" s="82">
        <v>7473.8063105288484</v>
      </c>
      <c r="CI34" s="82">
        <v>6970.0575437576535</v>
      </c>
      <c r="CJ34" s="82">
        <v>6655.8677926029732</v>
      </c>
      <c r="CK34" s="82">
        <v>6832.9686822677031</v>
      </c>
      <c r="CL34" s="82">
        <v>6872.4279456163376</v>
      </c>
      <c r="CM34" s="82">
        <v>6305.6514560724318</v>
      </c>
      <c r="CN34" s="82">
        <v>6661.5737415601025</v>
      </c>
      <c r="CO34" s="82">
        <v>6738.9255069046285</v>
      </c>
      <c r="CP34" s="82">
        <v>6519.1338055200431</v>
      </c>
      <c r="CQ34" s="82">
        <v>5982.3644625273382</v>
      </c>
      <c r="CR34" s="82">
        <v>5791.0099507991463</v>
      </c>
      <c r="CS34" s="82">
        <v>6314.3656188535388</v>
      </c>
      <c r="CT34" s="82">
        <v>6851.5110719298482</v>
      </c>
      <c r="CU34" s="82">
        <v>7106.551453626721</v>
      </c>
      <c r="CV34" s="82">
        <v>7445.8589359546022</v>
      </c>
      <c r="CW34" s="82">
        <v>7161.43639716502</v>
      </c>
      <c r="CX34" s="82">
        <v>7481.414556844572</v>
      </c>
      <c r="CY34" s="82">
        <v>8007.0990822375798</v>
      </c>
      <c r="CZ34" s="82">
        <v>8234.0310264472446</v>
      </c>
      <c r="DA34" s="82">
        <v>7872.1247702414521</v>
      </c>
      <c r="DB34" s="82">
        <v>7733.0313670187488</v>
      </c>
      <c r="DC34" s="82">
        <v>7317.9426358496585</v>
      </c>
      <c r="DD34" s="82">
        <v>6455.2799620921933</v>
      </c>
      <c r="DE34" s="82">
        <v>6955.2589380051977</v>
      </c>
      <c r="DF34" s="82">
        <v>7503.9565279867084</v>
      </c>
      <c r="DG34" s="82">
        <v>10654.205734885734</v>
      </c>
      <c r="DH34" s="82">
        <v>11026.555481549227</v>
      </c>
      <c r="DI34" s="82">
        <v>10887.226852110389</v>
      </c>
      <c r="DJ34" s="82">
        <v>11256.877711293606</v>
      </c>
      <c r="DK34" s="82">
        <v>11780.759705665663</v>
      </c>
      <c r="DL34" s="82">
        <v>12201.882588820157</v>
      </c>
      <c r="DM34" s="82">
        <v>11939.418836047715</v>
      </c>
      <c r="DN34" s="82">
        <v>11780.428455216446</v>
      </c>
      <c r="DO34" s="82">
        <v>11430.349954800649</v>
      </c>
      <c r="DP34" s="82">
        <v>10671.193768737265</v>
      </c>
      <c r="DQ34" s="82">
        <v>11318.345437404158</v>
      </c>
      <c r="DR34" s="82">
        <v>11865.882433027195</v>
      </c>
      <c r="DS34" s="82">
        <v>12802.572251834645</v>
      </c>
      <c r="DT34" s="57">
        <v>92.873245088210751</v>
      </c>
      <c r="DU34" s="57">
        <v>92.559348584861169</v>
      </c>
      <c r="DV34" s="57">
        <v>92.979889975932181</v>
      </c>
      <c r="DW34" s="57">
        <v>92.893757339026848</v>
      </c>
      <c r="DX34" s="57">
        <v>92.193828377878319</v>
      </c>
      <c r="DY34" s="57">
        <v>92.916154021673222</v>
      </c>
      <c r="DZ34" s="57">
        <v>93.882930818220956</v>
      </c>
      <c r="EA34" s="57">
        <v>94.104230192683232</v>
      </c>
      <c r="EB34" s="57">
        <v>94.726070080657394</v>
      </c>
      <c r="EC34" s="57">
        <v>94.655985501490321</v>
      </c>
      <c r="ED34" s="57">
        <v>94.70541540809117</v>
      </c>
      <c r="EE34" s="57">
        <v>93.817856693686338</v>
      </c>
      <c r="EF34" s="57">
        <v>94.114631827635037</v>
      </c>
      <c r="EG34" s="80"/>
      <c r="EH34" s="80"/>
      <c r="EI34" s="80"/>
      <c r="EJ34" s="80"/>
      <c r="EK34" s="11"/>
      <c r="EL34" s="11"/>
      <c r="EM34" s="11">
        <v>10300</v>
      </c>
      <c r="EN34" s="11"/>
      <c r="EO34" s="213">
        <v>100</v>
      </c>
      <c r="EP34" s="213">
        <v>100</v>
      </c>
      <c r="EQ34" s="213">
        <v>100</v>
      </c>
      <c r="ER34" s="213">
        <v>100</v>
      </c>
      <c r="ES34" s="213">
        <v>100</v>
      </c>
      <c r="ET34" s="213">
        <v>100</v>
      </c>
      <c r="EU34" s="213">
        <v>100</v>
      </c>
      <c r="EV34" s="213">
        <v>100</v>
      </c>
      <c r="EW34" s="213">
        <v>100</v>
      </c>
      <c r="EX34" s="213">
        <v>100</v>
      </c>
      <c r="EY34" s="213">
        <v>100</v>
      </c>
      <c r="EZ34" s="213">
        <v>100</v>
      </c>
      <c r="FA34" s="213">
        <v>100</v>
      </c>
      <c r="FB34" s="213">
        <v>100</v>
      </c>
      <c r="FC34" s="213">
        <v>100</v>
      </c>
      <c r="FD34" s="213">
        <v>100</v>
      </c>
      <c r="FE34" s="213">
        <v>100</v>
      </c>
      <c r="FF34" s="213">
        <v>100</v>
      </c>
      <c r="FG34" s="213">
        <v>100</v>
      </c>
      <c r="FH34" s="213">
        <v>100</v>
      </c>
      <c r="FI34" s="213">
        <v>100</v>
      </c>
      <c r="FJ34" s="213">
        <v>100</v>
      </c>
      <c r="FK34" s="213">
        <v>100</v>
      </c>
      <c r="FL34" s="213">
        <v>100</v>
      </c>
      <c r="FM34" s="213">
        <v>100</v>
      </c>
      <c r="FN34" s="213">
        <v>100</v>
      </c>
      <c r="FO34" s="213">
        <v>100</v>
      </c>
      <c r="FP34" s="213">
        <v>100</v>
      </c>
      <c r="FQ34" s="213">
        <v>100</v>
      </c>
      <c r="FR34" s="213">
        <v>100</v>
      </c>
      <c r="FS34" s="213">
        <v>100</v>
      </c>
      <c r="FT34" s="213">
        <v>100</v>
      </c>
      <c r="FU34" s="213">
        <v>100</v>
      </c>
      <c r="FV34" s="213">
        <v>100</v>
      </c>
      <c r="FW34" s="213">
        <v>100</v>
      </c>
      <c r="FX34" s="213">
        <v>100</v>
      </c>
      <c r="FY34" s="213">
        <v>100</v>
      </c>
      <c r="FZ34" s="213">
        <v>100</v>
      </c>
      <c r="GA34" s="213">
        <v>100</v>
      </c>
      <c r="GB34" s="213">
        <v>100</v>
      </c>
      <c r="GC34" s="213">
        <v>100</v>
      </c>
      <c r="GD34" s="213">
        <v>100</v>
      </c>
      <c r="GE34" s="213">
        <v>100</v>
      </c>
      <c r="GF34" s="213">
        <v>100</v>
      </c>
    </row>
    <row r="35" spans="1:276" ht="385">
      <c r="A35" s="7" t="s">
        <v>728</v>
      </c>
      <c r="B35" s="7"/>
      <c r="C35" s="7"/>
      <c r="D35" s="7"/>
      <c r="E35" s="1" t="s">
        <v>489</v>
      </c>
      <c r="F35" s="1" t="s">
        <v>489</v>
      </c>
      <c r="G35" s="1" t="s">
        <v>489</v>
      </c>
      <c r="H35" s="1" t="s">
        <v>489</v>
      </c>
      <c r="I35" s="1" t="s">
        <v>489</v>
      </c>
      <c r="J35" s="1" t="s">
        <v>489</v>
      </c>
      <c r="K35" s="1" t="s">
        <v>489</v>
      </c>
      <c r="L35" s="1" t="s">
        <v>489</v>
      </c>
      <c r="M35" s="1" t="s">
        <v>489</v>
      </c>
      <c r="N35" s="7" t="s">
        <v>117</v>
      </c>
      <c r="O35" s="7" t="s">
        <v>117</v>
      </c>
      <c r="P35" s="7" t="s">
        <v>117</v>
      </c>
      <c r="Q35" s="7" t="s">
        <v>117</v>
      </c>
      <c r="R35" s="7" t="s">
        <v>117</v>
      </c>
      <c r="S35" s="7" t="s">
        <v>117</v>
      </c>
      <c r="T35" s="7" t="s">
        <v>117</v>
      </c>
      <c r="U35" s="7" t="s">
        <v>117</v>
      </c>
      <c r="V35" s="7" t="s">
        <v>117</v>
      </c>
      <c r="W35" s="7" t="s">
        <v>117</v>
      </c>
      <c r="X35" s="7" t="s">
        <v>117</v>
      </c>
      <c r="Y35" s="7" t="s">
        <v>117</v>
      </c>
      <c r="Z35" s="7" t="s">
        <v>117</v>
      </c>
      <c r="AA35" s="7" t="s">
        <v>117</v>
      </c>
      <c r="AB35" s="7" t="s">
        <v>117</v>
      </c>
      <c r="AC35" s="7" t="s">
        <v>117</v>
      </c>
      <c r="AD35" s="7" t="s">
        <v>117</v>
      </c>
      <c r="AE35" s="7" t="s">
        <v>117</v>
      </c>
      <c r="AF35" s="7" t="s">
        <v>117</v>
      </c>
      <c r="AG35" s="7" t="s">
        <v>117</v>
      </c>
      <c r="AH35" s="7" t="s">
        <v>117</v>
      </c>
      <c r="AI35" s="7" t="s">
        <v>117</v>
      </c>
      <c r="AJ35" s="7" t="s">
        <v>3247</v>
      </c>
      <c r="AK35" s="7" t="s">
        <v>117</v>
      </c>
      <c r="AL35" s="7" t="s">
        <v>117</v>
      </c>
      <c r="AM35" s="7" t="s">
        <v>117</v>
      </c>
      <c r="AN35" s="7" t="s">
        <v>117</v>
      </c>
      <c r="AO35" s="7" t="s">
        <v>117</v>
      </c>
      <c r="AP35" s="7" t="s">
        <v>117</v>
      </c>
      <c r="AQ35" s="7" t="s">
        <v>117</v>
      </c>
      <c r="AR35" s="7" t="s">
        <v>117</v>
      </c>
      <c r="AS35" s="7" t="s">
        <v>117</v>
      </c>
      <c r="AT35" s="1" t="s">
        <v>3248</v>
      </c>
      <c r="AU35" s="1" t="s">
        <v>3248</v>
      </c>
      <c r="AV35" s="1" t="s">
        <v>3248</v>
      </c>
      <c r="AW35" s="1" t="s">
        <v>3248</v>
      </c>
      <c r="AX35" s="1" t="s">
        <v>3248</v>
      </c>
      <c r="AY35" s="1" t="s">
        <v>3248</v>
      </c>
      <c r="AZ35" s="1" t="s">
        <v>3248</v>
      </c>
      <c r="BA35" s="1" t="s">
        <v>3248</v>
      </c>
      <c r="BB35" s="1" t="s">
        <v>3248</v>
      </c>
      <c r="BC35" s="1" t="s">
        <v>3248</v>
      </c>
      <c r="BD35" s="1" t="s">
        <v>3248</v>
      </c>
      <c r="BE35" s="1" t="s">
        <v>3248</v>
      </c>
      <c r="BF35" s="1" t="s">
        <v>3248</v>
      </c>
      <c r="BG35" s="1" t="s">
        <v>3248</v>
      </c>
      <c r="BH35" s="1" t="s">
        <v>3248</v>
      </c>
      <c r="BI35" s="1" t="s">
        <v>3248</v>
      </c>
      <c r="BJ35" s="1" t="s">
        <v>3248</v>
      </c>
      <c r="BK35" s="1" t="s">
        <v>3248</v>
      </c>
      <c r="BL35" s="1" t="s">
        <v>3248</v>
      </c>
      <c r="BM35" s="1" t="s">
        <v>3248</v>
      </c>
      <c r="BN35" s="1" t="s">
        <v>3248</v>
      </c>
      <c r="BO35" s="1" t="s">
        <v>3248</v>
      </c>
      <c r="BP35" s="1" t="s">
        <v>3248</v>
      </c>
      <c r="BQ35" s="1" t="s">
        <v>3248</v>
      </c>
      <c r="BR35" s="1" t="s">
        <v>3248</v>
      </c>
      <c r="BS35" s="1" t="s">
        <v>3248</v>
      </c>
      <c r="BT35" s="1" t="s">
        <v>3248</v>
      </c>
      <c r="BU35" s="1" t="s">
        <v>3248</v>
      </c>
      <c r="BV35" s="1" t="s">
        <v>3248</v>
      </c>
      <c r="BW35" s="1" t="s">
        <v>3248</v>
      </c>
      <c r="BX35" s="1" t="s">
        <v>3248</v>
      </c>
      <c r="BY35" s="1" t="s">
        <v>3248</v>
      </c>
      <c r="BZ35" s="1" t="s">
        <v>3248</v>
      </c>
      <c r="CA35" s="1" t="s">
        <v>3248</v>
      </c>
      <c r="CB35" s="1" t="s">
        <v>3248</v>
      </c>
      <c r="CC35" s="1" t="s">
        <v>3248</v>
      </c>
      <c r="CD35" s="1" t="s">
        <v>1257</v>
      </c>
      <c r="CE35" s="1" t="s">
        <v>1257</v>
      </c>
      <c r="CF35" s="1" t="s">
        <v>1257</v>
      </c>
      <c r="CG35" s="1" t="s">
        <v>1257</v>
      </c>
      <c r="CH35" s="1" t="s">
        <v>1257</v>
      </c>
      <c r="CI35" s="1" t="s">
        <v>1257</v>
      </c>
      <c r="CJ35" s="1" t="s">
        <v>1257</v>
      </c>
      <c r="CK35" s="1" t="s">
        <v>1257</v>
      </c>
      <c r="CL35" s="1" t="s">
        <v>1257</v>
      </c>
      <c r="CM35" s="1" t="s">
        <v>1257</v>
      </c>
      <c r="CN35" s="1" t="s">
        <v>1257</v>
      </c>
      <c r="CO35" s="1" t="s">
        <v>1257</v>
      </c>
      <c r="CP35" s="1" t="s">
        <v>1257</v>
      </c>
      <c r="CQ35" s="1" t="s">
        <v>1257</v>
      </c>
      <c r="CR35" s="1" t="s">
        <v>1257</v>
      </c>
      <c r="CS35" s="1" t="s">
        <v>1257</v>
      </c>
      <c r="CT35" s="1" t="s">
        <v>1257</v>
      </c>
      <c r="CU35" s="1" t="s">
        <v>1257</v>
      </c>
      <c r="CV35" s="1" t="s">
        <v>1257</v>
      </c>
      <c r="CW35" s="1" t="s">
        <v>1257</v>
      </c>
      <c r="CX35" s="1" t="s">
        <v>1257</v>
      </c>
      <c r="CY35" s="1" t="s">
        <v>1257</v>
      </c>
      <c r="CZ35" s="1" t="s">
        <v>1257</v>
      </c>
      <c r="DA35" s="1" t="s">
        <v>3377</v>
      </c>
      <c r="DB35" s="1" t="s">
        <v>1257</v>
      </c>
      <c r="DC35" s="1" t="s">
        <v>1257</v>
      </c>
      <c r="DD35" s="1" t="s">
        <v>1257</v>
      </c>
      <c r="DE35" s="1" t="s">
        <v>1257</v>
      </c>
      <c r="DF35" s="1" t="s">
        <v>1546</v>
      </c>
      <c r="DG35" s="1" t="s">
        <v>2633</v>
      </c>
      <c r="DH35" s="1" t="s">
        <v>2633</v>
      </c>
      <c r="DI35" s="1" t="s">
        <v>2633</v>
      </c>
      <c r="DJ35" s="1" t="s">
        <v>2633</v>
      </c>
      <c r="DK35" s="1" t="s">
        <v>2633</v>
      </c>
      <c r="DL35" s="1" t="s">
        <v>2633</v>
      </c>
      <c r="DM35" s="1" t="s">
        <v>2633</v>
      </c>
      <c r="DN35" s="1" t="s">
        <v>2633</v>
      </c>
      <c r="DO35" s="1" t="s">
        <v>2633</v>
      </c>
      <c r="DP35" s="1" t="s">
        <v>2633</v>
      </c>
      <c r="DQ35" s="1" t="s">
        <v>2633</v>
      </c>
      <c r="DR35" s="1" t="s">
        <v>2633</v>
      </c>
      <c r="DS35" s="1" t="s">
        <v>2633</v>
      </c>
      <c r="DT35" s="1" t="s">
        <v>107</v>
      </c>
      <c r="DU35" s="1" t="s">
        <v>107</v>
      </c>
      <c r="DV35" s="1" t="s">
        <v>107</v>
      </c>
      <c r="DW35" s="1" t="s">
        <v>107</v>
      </c>
      <c r="DX35" s="1" t="s">
        <v>107</v>
      </c>
      <c r="DY35" s="1" t="s">
        <v>107</v>
      </c>
      <c r="DZ35" s="1" t="s">
        <v>107</v>
      </c>
      <c r="EA35" s="1" t="s">
        <v>107</v>
      </c>
      <c r="EB35" s="1" t="s">
        <v>107</v>
      </c>
      <c r="EC35" s="1" t="s">
        <v>107</v>
      </c>
      <c r="ED35" s="1" t="s">
        <v>107</v>
      </c>
      <c r="EE35" s="1" t="s">
        <v>107</v>
      </c>
      <c r="EF35" s="1" t="s">
        <v>3378</v>
      </c>
      <c r="EG35" s="20" t="s">
        <v>570</v>
      </c>
      <c r="EH35" s="20" t="s">
        <v>570</v>
      </c>
      <c r="EI35" s="20" t="s">
        <v>570</v>
      </c>
      <c r="EJ35" s="8" t="s">
        <v>673</v>
      </c>
      <c r="EK35" s="1" t="s">
        <v>673</v>
      </c>
      <c r="EL35" s="1" t="s">
        <v>673</v>
      </c>
      <c r="EM35" s="1" t="s">
        <v>514</v>
      </c>
      <c r="EN35" s="1" t="s">
        <v>686</v>
      </c>
      <c r="EO35" s="1" t="s">
        <v>3469</v>
      </c>
      <c r="EP35" s="1" t="s">
        <v>3469</v>
      </c>
      <c r="EQ35" s="1" t="s">
        <v>3469</v>
      </c>
      <c r="ER35" s="1" t="s">
        <v>3469</v>
      </c>
      <c r="ES35" s="1" t="s">
        <v>3469</v>
      </c>
      <c r="ET35" s="1" t="s">
        <v>3469</v>
      </c>
      <c r="EU35" s="1" t="s">
        <v>3469</v>
      </c>
      <c r="EV35" s="1" t="s">
        <v>3469</v>
      </c>
      <c r="EW35" s="1" t="s">
        <v>3469</v>
      </c>
      <c r="EX35" s="1" t="s">
        <v>3469</v>
      </c>
      <c r="EY35" s="1" t="s">
        <v>3469</v>
      </c>
      <c r="EZ35" s="1" t="s">
        <v>3469</v>
      </c>
      <c r="FA35" s="1" t="s">
        <v>3469</v>
      </c>
      <c r="FB35" s="1" t="s">
        <v>3469</v>
      </c>
      <c r="FC35" s="1" t="s">
        <v>3469</v>
      </c>
      <c r="FD35" s="1" t="s">
        <v>3469</v>
      </c>
      <c r="FE35" s="1" t="s">
        <v>3469</v>
      </c>
      <c r="FF35" s="1" t="s">
        <v>3469</v>
      </c>
      <c r="FG35" s="1" t="s">
        <v>3469</v>
      </c>
      <c r="FH35" s="1" t="s">
        <v>3469</v>
      </c>
      <c r="FI35" s="1" t="s">
        <v>3469</v>
      </c>
      <c r="FJ35" s="1" t="s">
        <v>3469</v>
      </c>
      <c r="FK35" s="1" t="s">
        <v>3469</v>
      </c>
      <c r="FL35" s="1" t="s">
        <v>3469</v>
      </c>
      <c r="FM35" s="1" t="s">
        <v>3469</v>
      </c>
      <c r="FN35" s="1" t="s">
        <v>3469</v>
      </c>
      <c r="FO35" s="1" t="s">
        <v>3469</v>
      </c>
      <c r="FP35" s="1" t="s">
        <v>3469</v>
      </c>
      <c r="FQ35" s="1" t="s">
        <v>3469</v>
      </c>
      <c r="FR35" s="1" t="s">
        <v>3469</v>
      </c>
      <c r="FS35" s="1" t="s">
        <v>3469</v>
      </c>
      <c r="FT35" s="1" t="s">
        <v>3469</v>
      </c>
      <c r="FU35" s="1" t="s">
        <v>3469</v>
      </c>
      <c r="FV35" s="1" t="s">
        <v>3469</v>
      </c>
      <c r="FW35" s="1" t="s">
        <v>3469</v>
      </c>
      <c r="FX35" s="1" t="s">
        <v>3469</v>
      </c>
      <c r="FY35" s="1" t="s">
        <v>3469</v>
      </c>
      <c r="FZ35" s="1" t="s">
        <v>3469</v>
      </c>
      <c r="GA35" s="1" t="s">
        <v>3469</v>
      </c>
      <c r="GB35" s="1" t="s">
        <v>3469</v>
      </c>
      <c r="GC35" s="1" t="s">
        <v>3469</v>
      </c>
      <c r="GD35" s="1" t="s">
        <v>3469</v>
      </c>
      <c r="GE35" s="1" t="s">
        <v>3469</v>
      </c>
      <c r="GF35" s="1" t="s">
        <v>3469</v>
      </c>
      <c r="GG35" s="1" t="s">
        <v>3495</v>
      </c>
      <c r="GH35" s="1" t="s">
        <v>3495</v>
      </c>
      <c r="GI35" s="1" t="s">
        <v>3495</v>
      </c>
      <c r="GJ35" s="1" t="s">
        <v>3495</v>
      </c>
      <c r="GK35" s="1" t="s">
        <v>3495</v>
      </c>
      <c r="GL35" s="1" t="s">
        <v>3495</v>
      </c>
      <c r="GM35" s="1" t="s">
        <v>3495</v>
      </c>
      <c r="GN35" s="1" t="s">
        <v>3495</v>
      </c>
      <c r="GO35" s="1" t="s">
        <v>3495</v>
      </c>
      <c r="GP35" s="1" t="s">
        <v>3495</v>
      </c>
      <c r="GQ35" s="1" t="s">
        <v>3495</v>
      </c>
      <c r="GR35" s="1" t="s">
        <v>3495</v>
      </c>
      <c r="GS35" s="1" t="s">
        <v>3495</v>
      </c>
      <c r="GT35" s="1" t="s">
        <v>3495</v>
      </c>
      <c r="GU35" s="1" t="s">
        <v>3495</v>
      </c>
      <c r="GV35" s="1" t="s">
        <v>3495</v>
      </c>
      <c r="GW35" s="1" t="s">
        <v>3495</v>
      </c>
      <c r="GX35" s="1" t="s">
        <v>3495</v>
      </c>
      <c r="GY35" s="1" t="s">
        <v>3495</v>
      </c>
      <c r="GZ35" s="1" t="s">
        <v>3495</v>
      </c>
      <c r="HA35" s="1" t="s">
        <v>3495</v>
      </c>
      <c r="HB35" s="1" t="s">
        <v>3495</v>
      </c>
      <c r="HC35" s="1" t="s">
        <v>3495</v>
      </c>
      <c r="HD35" s="1" t="s">
        <v>3495</v>
      </c>
      <c r="HE35" s="1" t="s">
        <v>3495</v>
      </c>
      <c r="HF35" s="1" t="s">
        <v>3495</v>
      </c>
      <c r="HG35" s="1" t="s">
        <v>3495</v>
      </c>
      <c r="HH35" s="1" t="s">
        <v>3495</v>
      </c>
      <c r="HI35" s="1" t="s">
        <v>3495</v>
      </c>
      <c r="HJ35" s="1" t="s">
        <v>3495</v>
      </c>
      <c r="HK35" s="1" t="s">
        <v>3495</v>
      </c>
      <c r="HL35" s="1" t="s">
        <v>3495</v>
      </c>
      <c r="HM35" s="1" t="s">
        <v>3495</v>
      </c>
      <c r="HN35" s="1" t="s">
        <v>3495</v>
      </c>
      <c r="HO35" s="1" t="s">
        <v>3495</v>
      </c>
      <c r="HP35" s="1" t="s">
        <v>3495</v>
      </c>
      <c r="HQ35" s="1" t="s">
        <v>3495</v>
      </c>
      <c r="HR35" s="1" t="s">
        <v>3495</v>
      </c>
      <c r="HS35" s="1" t="s">
        <v>3495</v>
      </c>
      <c r="HT35" s="1" t="s">
        <v>3495</v>
      </c>
      <c r="HU35" s="1" t="s">
        <v>3495</v>
      </c>
      <c r="HV35" s="1" t="s">
        <v>3495</v>
      </c>
      <c r="HW35" s="1" t="s">
        <v>3495</v>
      </c>
      <c r="HX35" s="1" t="s">
        <v>3495</v>
      </c>
      <c r="HY35" s="1" t="s">
        <v>3495</v>
      </c>
      <c r="HZ35" s="1" t="s">
        <v>3495</v>
      </c>
      <c r="IA35" s="1" t="s">
        <v>3495</v>
      </c>
      <c r="IB35" s="1" t="s">
        <v>3495</v>
      </c>
      <c r="IC35" s="1" t="s">
        <v>3495</v>
      </c>
      <c r="ID35" s="1" t="s">
        <v>3495</v>
      </c>
      <c r="IE35" s="1" t="s">
        <v>3495</v>
      </c>
      <c r="IF35" s="1" t="s">
        <v>3495</v>
      </c>
      <c r="IG35" s="1" t="s">
        <v>3495</v>
      </c>
      <c r="IH35" s="1" t="s">
        <v>3495</v>
      </c>
      <c r="II35" s="1" t="s">
        <v>3495</v>
      </c>
      <c r="IJ35" s="1" t="s">
        <v>3495</v>
      </c>
      <c r="IK35" s="1" t="s">
        <v>3495</v>
      </c>
      <c r="IL35" s="1" t="s">
        <v>3495</v>
      </c>
      <c r="IM35" s="1" t="s">
        <v>3495</v>
      </c>
      <c r="IN35" s="1" t="s">
        <v>3495</v>
      </c>
      <c r="IO35" s="1" t="s">
        <v>3495</v>
      </c>
      <c r="IP35" s="1" t="s">
        <v>3495</v>
      </c>
      <c r="IQ35" s="1" t="s">
        <v>3495</v>
      </c>
      <c r="IR35" s="1" t="s">
        <v>3495</v>
      </c>
      <c r="IS35" s="1" t="s">
        <v>3495</v>
      </c>
      <c r="IT35" s="1" t="s">
        <v>3495</v>
      </c>
      <c r="IU35" s="1" t="s">
        <v>3495</v>
      </c>
      <c r="IV35" s="1" t="s">
        <v>3495</v>
      </c>
      <c r="IW35" s="1" t="s">
        <v>3495</v>
      </c>
      <c r="IX35" s="1" t="s">
        <v>3495</v>
      </c>
      <c r="IY35" s="1" t="s">
        <v>3495</v>
      </c>
      <c r="IZ35" s="1" t="s">
        <v>3495</v>
      </c>
      <c r="JA35" s="1" t="s">
        <v>3495</v>
      </c>
      <c r="JB35" s="1" t="s">
        <v>3495</v>
      </c>
      <c r="JC35" s="1" t="s">
        <v>3495</v>
      </c>
      <c r="JD35" s="1" t="s">
        <v>3495</v>
      </c>
      <c r="JE35" s="1" t="s">
        <v>3495</v>
      </c>
      <c r="JF35" s="1" t="s">
        <v>3495</v>
      </c>
      <c r="JG35" s="1" t="s">
        <v>3495</v>
      </c>
      <c r="JH35" s="1" t="s">
        <v>3495</v>
      </c>
      <c r="JI35" s="1" t="s">
        <v>3544</v>
      </c>
      <c r="JJ35" s="1" t="s">
        <v>3544</v>
      </c>
      <c r="JK35" s="1" t="s">
        <v>3544</v>
      </c>
      <c r="JL35" s="1" t="s">
        <v>3544</v>
      </c>
      <c r="JM35" s="1" t="s">
        <v>3544</v>
      </c>
      <c r="JN35" s="1" t="s">
        <v>3544</v>
      </c>
      <c r="JO35" s="1" t="s">
        <v>3544</v>
      </c>
      <c r="JP35" s="1" t="s">
        <v>3544</v>
      </c>
    </row>
    <row r="36" spans="1:276" s="1" customFormat="1" ht="231">
      <c r="A36" s="1" t="s">
        <v>2212</v>
      </c>
      <c r="N36" s="1" t="s">
        <v>118</v>
      </c>
      <c r="O36" s="1" t="s">
        <v>118</v>
      </c>
      <c r="P36" s="1" t="s">
        <v>118</v>
      </c>
      <c r="Q36" s="1" t="s">
        <v>118</v>
      </c>
      <c r="R36" s="1" t="s">
        <v>118</v>
      </c>
      <c r="S36" s="1" t="s">
        <v>118</v>
      </c>
      <c r="T36" s="1" t="s">
        <v>118</v>
      </c>
      <c r="U36" s="1" t="s">
        <v>118</v>
      </c>
      <c r="V36" s="1" t="s">
        <v>118</v>
      </c>
      <c r="W36" s="1" t="s">
        <v>118</v>
      </c>
      <c r="X36" s="1" t="s">
        <v>118</v>
      </c>
      <c r="Y36" s="1" t="s">
        <v>118</v>
      </c>
      <c r="Z36" s="1" t="s">
        <v>118</v>
      </c>
      <c r="AA36" s="1" t="s">
        <v>118</v>
      </c>
      <c r="AB36" s="1" t="s">
        <v>118</v>
      </c>
      <c r="AC36" s="1" t="s">
        <v>118</v>
      </c>
      <c r="AD36" s="1" t="s">
        <v>118</v>
      </c>
      <c r="AE36" s="1" t="s">
        <v>118</v>
      </c>
      <c r="AF36" s="1" t="s">
        <v>118</v>
      </c>
      <c r="AG36" s="1" t="s">
        <v>118</v>
      </c>
      <c r="AH36" s="1" t="s">
        <v>118</v>
      </c>
      <c r="AI36" s="1" t="s">
        <v>118</v>
      </c>
      <c r="AJ36" s="1" t="s">
        <v>118</v>
      </c>
      <c r="AK36" s="1" t="s">
        <v>118</v>
      </c>
      <c r="AL36" s="1" t="s">
        <v>118</v>
      </c>
      <c r="AM36" s="1" t="s">
        <v>118</v>
      </c>
      <c r="AN36" s="1" t="s">
        <v>118</v>
      </c>
      <c r="AO36" s="1" t="s">
        <v>118</v>
      </c>
      <c r="AP36" s="1" t="s">
        <v>118</v>
      </c>
      <c r="AQ36" s="1" t="s">
        <v>118</v>
      </c>
      <c r="AR36" s="1" t="s">
        <v>118</v>
      </c>
      <c r="AS36" s="1" t="s">
        <v>118</v>
      </c>
      <c r="AT36" s="1" t="s">
        <v>75</v>
      </c>
      <c r="AU36" s="1" t="s">
        <v>75</v>
      </c>
      <c r="AV36" s="1" t="s">
        <v>75</v>
      </c>
      <c r="AW36" s="1" t="s">
        <v>75</v>
      </c>
      <c r="AX36" s="1" t="s">
        <v>75</v>
      </c>
      <c r="AY36" s="1" t="s">
        <v>75</v>
      </c>
      <c r="AZ36" s="1" t="s">
        <v>75</v>
      </c>
      <c r="BA36" s="1" t="s">
        <v>75</v>
      </c>
      <c r="BB36" s="1" t="s">
        <v>75</v>
      </c>
      <c r="BC36" s="1" t="s">
        <v>75</v>
      </c>
      <c r="BD36" s="1" t="s">
        <v>75</v>
      </c>
      <c r="BE36" s="1" t="s">
        <v>75</v>
      </c>
      <c r="BF36" s="1" t="s">
        <v>75</v>
      </c>
      <c r="BG36" s="1" t="s">
        <v>75</v>
      </c>
      <c r="BH36" s="1" t="s">
        <v>75</v>
      </c>
      <c r="BI36" s="1" t="s">
        <v>75</v>
      </c>
      <c r="BJ36" s="1" t="s">
        <v>75</v>
      </c>
      <c r="BK36" s="1" t="s">
        <v>75</v>
      </c>
      <c r="BL36" s="1" t="s">
        <v>75</v>
      </c>
      <c r="BM36" s="1" t="s">
        <v>75</v>
      </c>
      <c r="BN36" s="1" t="s">
        <v>75</v>
      </c>
      <c r="BO36" s="1" t="s">
        <v>75</v>
      </c>
      <c r="BP36" s="1" t="s">
        <v>75</v>
      </c>
      <c r="BQ36" s="1" t="s">
        <v>75</v>
      </c>
      <c r="BR36" s="1" t="s">
        <v>75</v>
      </c>
      <c r="BS36" s="1" t="s">
        <v>75</v>
      </c>
      <c r="BT36" s="1" t="s">
        <v>75</v>
      </c>
      <c r="BU36" s="1" t="s">
        <v>75</v>
      </c>
      <c r="BV36" s="1" t="s">
        <v>75</v>
      </c>
      <c r="BW36" s="1" t="s">
        <v>75</v>
      </c>
      <c r="BX36" s="1" t="s">
        <v>75</v>
      </c>
      <c r="BY36" s="1" t="s">
        <v>75</v>
      </c>
      <c r="BZ36" s="1" t="s">
        <v>75</v>
      </c>
      <c r="CA36" s="1" t="s">
        <v>75</v>
      </c>
      <c r="CB36" s="1" t="s">
        <v>75</v>
      </c>
      <c r="CC36" s="1" t="s">
        <v>75</v>
      </c>
      <c r="DG36" s="1" t="s">
        <v>2583</v>
      </c>
      <c r="DH36" s="1" t="s">
        <v>94</v>
      </c>
      <c r="DI36" s="1" t="s">
        <v>94</v>
      </c>
      <c r="DJ36" s="1" t="s">
        <v>94</v>
      </c>
      <c r="DK36" s="1" t="s">
        <v>94</v>
      </c>
      <c r="DL36" s="1" t="s">
        <v>94</v>
      </c>
      <c r="DM36" s="1" t="s">
        <v>94</v>
      </c>
      <c r="DN36" s="1" t="s">
        <v>94</v>
      </c>
      <c r="DO36" s="1" t="s">
        <v>94</v>
      </c>
      <c r="DP36" s="1" t="s">
        <v>94</v>
      </c>
      <c r="DQ36" s="1" t="s">
        <v>94</v>
      </c>
      <c r="DR36" s="1" t="s">
        <v>94</v>
      </c>
      <c r="DS36" s="1" t="s">
        <v>94</v>
      </c>
      <c r="DT36" s="1" t="s">
        <v>108</v>
      </c>
      <c r="DU36" s="1" t="s">
        <v>108</v>
      </c>
      <c r="DV36" s="1" t="s">
        <v>108</v>
      </c>
      <c r="DW36" s="1" t="s">
        <v>108</v>
      </c>
      <c r="DX36" s="1" t="s">
        <v>108</v>
      </c>
      <c r="DY36" s="1" t="s">
        <v>108</v>
      </c>
      <c r="DZ36" s="1" t="s">
        <v>108</v>
      </c>
      <c r="EA36" s="1" t="s">
        <v>108</v>
      </c>
      <c r="EB36" s="1" t="s">
        <v>108</v>
      </c>
      <c r="EC36" s="1" t="s">
        <v>108</v>
      </c>
      <c r="ED36" s="1" t="s">
        <v>108</v>
      </c>
      <c r="EE36" s="1" t="s">
        <v>108</v>
      </c>
      <c r="EF36" s="1" t="s">
        <v>108</v>
      </c>
      <c r="GG36" s="1" t="s">
        <v>3545</v>
      </c>
      <c r="GH36" s="1" t="s">
        <v>3545</v>
      </c>
      <c r="GI36" s="1" t="s">
        <v>3545</v>
      </c>
      <c r="GJ36" s="1" t="s">
        <v>3545</v>
      </c>
      <c r="GK36" s="1" t="s">
        <v>3545</v>
      </c>
      <c r="GL36" s="1" t="s">
        <v>3545</v>
      </c>
      <c r="GM36" s="1" t="s">
        <v>3545</v>
      </c>
      <c r="GN36" s="1" t="s">
        <v>3545</v>
      </c>
      <c r="GO36" s="1" t="s">
        <v>3545</v>
      </c>
      <c r="GP36" s="1" t="s">
        <v>3545</v>
      </c>
      <c r="GQ36" s="1" t="s">
        <v>3545</v>
      </c>
      <c r="GR36" s="1" t="s">
        <v>3545</v>
      </c>
      <c r="GS36" s="1" t="s">
        <v>3545</v>
      </c>
      <c r="GT36" s="1" t="s">
        <v>3545</v>
      </c>
      <c r="GU36" s="1" t="s">
        <v>3545</v>
      </c>
      <c r="GV36" s="1" t="s">
        <v>3545</v>
      </c>
      <c r="GW36" s="1" t="s">
        <v>3545</v>
      </c>
      <c r="GX36" s="1" t="s">
        <v>3545</v>
      </c>
      <c r="GY36" s="1" t="s">
        <v>3545</v>
      </c>
      <c r="GZ36" s="1" t="s">
        <v>3545</v>
      </c>
      <c r="HA36" s="1" t="s">
        <v>3545</v>
      </c>
      <c r="HB36" s="1" t="s">
        <v>3545</v>
      </c>
      <c r="HC36" s="1" t="s">
        <v>3545</v>
      </c>
      <c r="HD36" s="1" t="s">
        <v>3545</v>
      </c>
      <c r="HE36" s="1" t="s">
        <v>3545</v>
      </c>
      <c r="HF36" s="1" t="s">
        <v>3545</v>
      </c>
      <c r="HG36" s="1" t="s">
        <v>3545</v>
      </c>
      <c r="HH36" s="1" t="s">
        <v>3545</v>
      </c>
      <c r="HI36" s="1" t="s">
        <v>3545</v>
      </c>
      <c r="HJ36" s="1" t="s">
        <v>3545</v>
      </c>
      <c r="HK36" s="1" t="s">
        <v>3545</v>
      </c>
      <c r="HL36" s="1" t="s">
        <v>3545</v>
      </c>
      <c r="HM36" s="1" t="s">
        <v>3545</v>
      </c>
      <c r="HN36" s="1" t="s">
        <v>3545</v>
      </c>
      <c r="HO36" s="1" t="s">
        <v>3545</v>
      </c>
      <c r="HP36" s="1" t="s">
        <v>3545</v>
      </c>
      <c r="HQ36" s="1" t="s">
        <v>3545</v>
      </c>
      <c r="HR36" s="1" t="s">
        <v>3545</v>
      </c>
      <c r="HS36" s="1" t="s">
        <v>3545</v>
      </c>
      <c r="HT36" s="1" t="s">
        <v>3545</v>
      </c>
      <c r="HU36" s="1" t="s">
        <v>3545</v>
      </c>
      <c r="HV36" s="1" t="s">
        <v>3545</v>
      </c>
      <c r="HW36" s="1" t="s">
        <v>3545</v>
      </c>
      <c r="HX36" s="1" t="s">
        <v>3545</v>
      </c>
      <c r="HY36" s="1" t="s">
        <v>3545</v>
      </c>
      <c r="HZ36" s="1" t="s">
        <v>3545</v>
      </c>
      <c r="IA36" s="1" t="s">
        <v>3545</v>
      </c>
      <c r="IB36" s="1" t="s">
        <v>3545</v>
      </c>
      <c r="IC36" s="1" t="s">
        <v>3545</v>
      </c>
      <c r="ID36" s="1" t="s">
        <v>3545</v>
      </c>
      <c r="IE36" s="1" t="s">
        <v>3545</v>
      </c>
      <c r="IF36" s="1" t="s">
        <v>3545</v>
      </c>
      <c r="IG36" s="1" t="s">
        <v>3545</v>
      </c>
      <c r="IH36" s="1" t="s">
        <v>3545</v>
      </c>
      <c r="II36" s="1" t="s">
        <v>3545</v>
      </c>
      <c r="IJ36" s="1" t="s">
        <v>3545</v>
      </c>
      <c r="IK36" s="1" t="s">
        <v>3545</v>
      </c>
      <c r="IL36" s="1" t="s">
        <v>3545</v>
      </c>
      <c r="IM36" s="1" t="s">
        <v>3545</v>
      </c>
      <c r="IN36" s="1" t="s">
        <v>3545</v>
      </c>
      <c r="IO36" s="1" t="s">
        <v>3545</v>
      </c>
      <c r="IP36" s="1" t="s">
        <v>3545</v>
      </c>
      <c r="IQ36" s="1" t="s">
        <v>3545</v>
      </c>
      <c r="IR36" s="1" t="s">
        <v>3545</v>
      </c>
      <c r="IS36" s="1" t="s">
        <v>3545</v>
      </c>
      <c r="IT36" s="1" t="s">
        <v>3545</v>
      </c>
      <c r="IU36" s="1" t="s">
        <v>3545</v>
      </c>
      <c r="IV36" s="1" t="s">
        <v>3545</v>
      </c>
      <c r="IW36" s="1" t="s">
        <v>3545</v>
      </c>
      <c r="IX36" s="1" t="s">
        <v>3545</v>
      </c>
      <c r="IY36" s="1" t="s">
        <v>3545</v>
      </c>
      <c r="IZ36" s="1" t="s">
        <v>3545</v>
      </c>
      <c r="JA36" s="1" t="s">
        <v>3545</v>
      </c>
      <c r="JB36" s="1" t="s">
        <v>3545</v>
      </c>
      <c r="JC36" s="1" t="s">
        <v>3545</v>
      </c>
      <c r="JD36" s="1" t="s">
        <v>3545</v>
      </c>
      <c r="JE36" s="1" t="s">
        <v>3545</v>
      </c>
      <c r="JF36" s="1" t="s">
        <v>3545</v>
      </c>
      <c r="JG36" s="1" t="s">
        <v>3545</v>
      </c>
      <c r="JH36" s="1" t="s">
        <v>3545</v>
      </c>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6"/>
  <sheetViews>
    <sheetView workbookViewId="0">
      <pane xSplit="12080" topLeftCell="AI1" activePane="topRight"/>
      <selection pane="topRight" activeCell="AQ9" sqref="AQ9:AQ32"/>
    </sheetView>
  </sheetViews>
  <sheetFormatPr baseColWidth="10" defaultRowHeight="13" x14ac:dyDescent="0"/>
  <cols>
    <col min="1" max="1" width="15.140625" style="3" customWidth="1"/>
    <col min="2" max="3" width="5.7109375" style="3" customWidth="1"/>
    <col min="4" max="12" width="10.7109375" style="3"/>
    <col min="13" max="57" width="10.7109375" style="6"/>
    <col min="58" max="110" width="10.7109375" style="3"/>
  </cols>
  <sheetData>
    <row r="1" spans="1:110">
      <c r="A1" s="184" t="s">
        <v>3365</v>
      </c>
    </row>
    <row r="2" spans="1:110">
      <c r="A2" s="1" t="s">
        <v>614</v>
      </c>
      <c r="B2" s="1"/>
      <c r="C2" s="1"/>
      <c r="D2" s="1"/>
      <c r="E2" s="2" t="s">
        <v>610</v>
      </c>
      <c r="F2" s="2" t="s">
        <v>610</v>
      </c>
      <c r="G2" s="2" t="s">
        <v>610</v>
      </c>
      <c r="H2" s="2" t="s">
        <v>610</v>
      </c>
      <c r="I2" s="2" t="s">
        <v>610</v>
      </c>
      <c r="J2" s="2" t="s">
        <v>610</v>
      </c>
      <c r="K2" s="2" t="s">
        <v>610</v>
      </c>
      <c r="L2" s="2" t="s">
        <v>610</v>
      </c>
      <c r="M2" s="2" t="s">
        <v>610</v>
      </c>
      <c r="N2" s="2" t="s">
        <v>610</v>
      </c>
      <c r="O2" s="2" t="s">
        <v>610</v>
      </c>
      <c r="P2" s="2" t="s">
        <v>610</v>
      </c>
      <c r="Q2" s="2" t="s">
        <v>610</v>
      </c>
      <c r="R2" s="2" t="s">
        <v>610</v>
      </c>
      <c r="S2" s="2" t="s">
        <v>610</v>
      </c>
      <c r="T2" s="2" t="s">
        <v>610</v>
      </c>
      <c r="U2" s="2" t="s">
        <v>610</v>
      </c>
      <c r="V2" s="2" t="s">
        <v>610</v>
      </c>
      <c r="W2" s="2" t="s">
        <v>610</v>
      </c>
      <c r="X2" s="2" t="s">
        <v>610</v>
      </c>
      <c r="Y2" s="2" t="s">
        <v>610</v>
      </c>
      <c r="Z2" s="2" t="s">
        <v>610</v>
      </c>
      <c r="AA2" s="2" t="s">
        <v>610</v>
      </c>
      <c r="AB2" s="2" t="s">
        <v>610</v>
      </c>
      <c r="AC2" s="2" t="s">
        <v>610</v>
      </c>
      <c r="AD2" s="2" t="s">
        <v>610</v>
      </c>
      <c r="AE2" s="2" t="s">
        <v>610</v>
      </c>
      <c r="AF2" s="2" t="s">
        <v>610</v>
      </c>
      <c r="AG2" s="2" t="s">
        <v>610</v>
      </c>
      <c r="AH2" s="2" t="s">
        <v>610</v>
      </c>
      <c r="AI2" s="2" t="s">
        <v>610</v>
      </c>
      <c r="AJ2" s="2" t="s">
        <v>610</v>
      </c>
      <c r="AK2" s="2" t="s">
        <v>610</v>
      </c>
      <c r="AL2" s="2" t="s">
        <v>610</v>
      </c>
      <c r="AM2" s="2" t="s">
        <v>610</v>
      </c>
      <c r="AN2" s="2" t="s">
        <v>610</v>
      </c>
      <c r="AO2" s="2" t="s">
        <v>610</v>
      </c>
      <c r="AP2" s="2" t="s">
        <v>610</v>
      </c>
      <c r="AQ2" s="2" t="s">
        <v>610</v>
      </c>
      <c r="AR2" s="2" t="s">
        <v>610</v>
      </c>
      <c r="AS2" s="2" t="s">
        <v>610</v>
      </c>
      <c r="AT2" s="2" t="s">
        <v>610</v>
      </c>
      <c r="AU2" s="2" t="s">
        <v>610</v>
      </c>
      <c r="AV2" s="2" t="s">
        <v>610</v>
      </c>
      <c r="AW2" s="2" t="s">
        <v>610</v>
      </c>
      <c r="AX2" s="2" t="s">
        <v>610</v>
      </c>
      <c r="AY2" s="2" t="s">
        <v>610</v>
      </c>
      <c r="AZ2" s="2" t="s">
        <v>610</v>
      </c>
      <c r="BA2" s="2" t="s">
        <v>610</v>
      </c>
      <c r="BB2" s="2" t="s">
        <v>610</v>
      </c>
      <c r="BC2" s="2" t="s">
        <v>610</v>
      </c>
      <c r="BD2" s="2" t="s">
        <v>610</v>
      </c>
      <c r="BE2" s="2" t="s">
        <v>610</v>
      </c>
      <c r="BF2" s="2" t="s">
        <v>610</v>
      </c>
      <c r="BG2" s="2" t="s">
        <v>610</v>
      </c>
      <c r="BH2" s="2" t="s">
        <v>610</v>
      </c>
      <c r="BI2" s="2" t="s">
        <v>610</v>
      </c>
      <c r="BJ2" s="2" t="s">
        <v>610</v>
      </c>
      <c r="BK2" s="2" t="s">
        <v>610</v>
      </c>
      <c r="BL2" s="2" t="s">
        <v>610</v>
      </c>
      <c r="BM2" s="2" t="s">
        <v>941</v>
      </c>
      <c r="BN2" s="2" t="s">
        <v>941</v>
      </c>
      <c r="BO2" s="2" t="s">
        <v>941</v>
      </c>
      <c r="BP2" s="2" t="s">
        <v>941</v>
      </c>
      <c r="BQ2" s="2" t="s">
        <v>941</v>
      </c>
      <c r="BR2" s="2" t="s">
        <v>941</v>
      </c>
      <c r="BS2" s="2" t="s">
        <v>941</v>
      </c>
      <c r="BT2" s="2" t="s">
        <v>941</v>
      </c>
      <c r="BU2" s="2" t="s">
        <v>941</v>
      </c>
      <c r="BV2" s="2" t="s">
        <v>941</v>
      </c>
      <c r="BW2" s="2" t="s">
        <v>941</v>
      </c>
      <c r="BX2" s="2" t="s">
        <v>941</v>
      </c>
      <c r="BY2" s="2" t="s">
        <v>941</v>
      </c>
      <c r="BZ2" s="2" t="s">
        <v>941</v>
      </c>
      <c r="CA2" s="2" t="s">
        <v>941</v>
      </c>
      <c r="CB2" s="2" t="s">
        <v>941</v>
      </c>
      <c r="CC2" s="2" t="s">
        <v>941</v>
      </c>
      <c r="CD2" s="2" t="s">
        <v>941</v>
      </c>
      <c r="CE2" s="2" t="s">
        <v>941</v>
      </c>
      <c r="CF2" s="2" t="s">
        <v>941</v>
      </c>
      <c r="CG2" s="2" t="s">
        <v>941</v>
      </c>
      <c r="CH2" s="2" t="s">
        <v>941</v>
      </c>
      <c r="CI2" s="2" t="s">
        <v>941</v>
      </c>
      <c r="CJ2" s="2" t="s">
        <v>941</v>
      </c>
      <c r="CK2" s="2" t="s">
        <v>941</v>
      </c>
      <c r="CL2" s="2" t="s">
        <v>941</v>
      </c>
      <c r="CM2" s="2" t="s">
        <v>941</v>
      </c>
      <c r="CN2" s="2" t="s">
        <v>941</v>
      </c>
      <c r="CO2" s="2" t="s">
        <v>941</v>
      </c>
      <c r="CP2" s="2" t="s">
        <v>941</v>
      </c>
      <c r="CQ2" s="15" t="s">
        <v>941</v>
      </c>
      <c r="CR2" s="15" t="s">
        <v>941</v>
      </c>
      <c r="CS2" s="15" t="s">
        <v>941</v>
      </c>
      <c r="CT2" s="15" t="s">
        <v>941</v>
      </c>
      <c r="CU2" s="15" t="s">
        <v>941</v>
      </c>
      <c r="CV2" s="18" t="s">
        <v>941</v>
      </c>
      <c r="CW2" s="18" t="s">
        <v>941</v>
      </c>
      <c r="CX2" s="19" t="s">
        <v>941</v>
      </c>
      <c r="CY2" s="18" t="s">
        <v>941</v>
      </c>
      <c r="CZ2" s="9" t="s">
        <v>942</v>
      </c>
      <c r="DA2" s="1" t="s">
        <v>1301</v>
      </c>
      <c r="DB2" s="1" t="s">
        <v>474</v>
      </c>
      <c r="DC2" s="1" t="s">
        <v>474</v>
      </c>
      <c r="DD2" s="1" t="s">
        <v>474</v>
      </c>
      <c r="DE2" s="1" t="s">
        <v>474</v>
      </c>
      <c r="DF2" s="1" t="s">
        <v>474</v>
      </c>
    </row>
    <row r="3" spans="1:110">
      <c r="A3" s="1" t="s">
        <v>518</v>
      </c>
      <c r="B3" s="1"/>
      <c r="C3" s="1"/>
      <c r="D3" s="1"/>
      <c r="E3" s="2" t="s">
        <v>994</v>
      </c>
      <c r="F3" s="2" t="s">
        <v>994</v>
      </c>
      <c r="G3" s="2" t="s">
        <v>994</v>
      </c>
      <c r="H3" s="2" t="s">
        <v>994</v>
      </c>
      <c r="I3" s="2" t="s">
        <v>994</v>
      </c>
      <c r="J3" s="2" t="s">
        <v>994</v>
      </c>
      <c r="K3" s="2" t="s">
        <v>994</v>
      </c>
      <c r="L3" s="2" t="s">
        <v>994</v>
      </c>
      <c r="M3" s="2" t="s">
        <v>994</v>
      </c>
      <c r="N3" s="2" t="s">
        <v>994</v>
      </c>
      <c r="O3" s="2" t="s">
        <v>994</v>
      </c>
      <c r="P3" s="2" t="s">
        <v>994</v>
      </c>
      <c r="Q3" s="2" t="s">
        <v>994</v>
      </c>
      <c r="R3" s="2" t="s">
        <v>994</v>
      </c>
      <c r="S3" s="2" t="s">
        <v>994</v>
      </c>
      <c r="T3" s="2" t="s">
        <v>994</v>
      </c>
      <c r="U3" s="2" t="s">
        <v>994</v>
      </c>
      <c r="V3" s="2" t="s">
        <v>994</v>
      </c>
      <c r="W3" s="2" t="s">
        <v>994</v>
      </c>
      <c r="X3" s="2" t="s">
        <v>994</v>
      </c>
      <c r="Y3" s="2" t="s">
        <v>994</v>
      </c>
      <c r="Z3" s="2" t="s">
        <v>994</v>
      </c>
      <c r="AA3" s="2" t="s">
        <v>994</v>
      </c>
      <c r="AB3" s="2" t="s">
        <v>994</v>
      </c>
      <c r="AC3" s="2" t="s">
        <v>994</v>
      </c>
      <c r="AD3" s="2" t="s">
        <v>994</v>
      </c>
      <c r="AE3" s="2" t="s">
        <v>994</v>
      </c>
      <c r="AF3" s="2" t="s">
        <v>994</v>
      </c>
      <c r="AG3" s="2" t="s">
        <v>994</v>
      </c>
      <c r="AH3" s="2" t="s">
        <v>994</v>
      </c>
      <c r="AI3" s="2" t="s">
        <v>994</v>
      </c>
      <c r="AJ3" s="2" t="s">
        <v>994</v>
      </c>
      <c r="AK3" s="2" t="s">
        <v>994</v>
      </c>
      <c r="AL3" s="2" t="s">
        <v>994</v>
      </c>
      <c r="AM3" s="2" t="s">
        <v>994</v>
      </c>
      <c r="AN3" s="2" t="s">
        <v>994</v>
      </c>
      <c r="AO3" s="2" t="s">
        <v>994</v>
      </c>
      <c r="AP3" s="2" t="s">
        <v>994</v>
      </c>
      <c r="AQ3" s="2" t="s">
        <v>994</v>
      </c>
      <c r="AR3" s="2" t="s">
        <v>994</v>
      </c>
      <c r="AS3" s="2" t="s">
        <v>994</v>
      </c>
      <c r="AT3" s="2" t="s">
        <v>994</v>
      </c>
      <c r="AU3" s="2" t="s">
        <v>994</v>
      </c>
      <c r="AV3" s="2" t="s">
        <v>994</v>
      </c>
      <c r="AW3" s="2" t="s">
        <v>994</v>
      </c>
      <c r="AX3" s="2" t="s">
        <v>994</v>
      </c>
      <c r="AY3" s="2" t="s">
        <v>994</v>
      </c>
      <c r="AZ3" s="2" t="s">
        <v>994</v>
      </c>
      <c r="BA3" s="2" t="s">
        <v>994</v>
      </c>
      <c r="BB3" s="2" t="s">
        <v>994</v>
      </c>
      <c r="BC3" s="2" t="s">
        <v>994</v>
      </c>
      <c r="BD3" s="2" t="s">
        <v>994</v>
      </c>
      <c r="BE3" s="2" t="s">
        <v>994</v>
      </c>
      <c r="BF3" s="2" t="s">
        <v>994</v>
      </c>
      <c r="BG3" s="2" t="s">
        <v>994</v>
      </c>
      <c r="BH3" s="2" t="s">
        <v>994</v>
      </c>
      <c r="BI3" s="2" t="s">
        <v>994</v>
      </c>
      <c r="BJ3" s="2" t="s">
        <v>994</v>
      </c>
      <c r="BK3" s="2" t="s">
        <v>994</v>
      </c>
      <c r="BL3" s="2" t="s">
        <v>994</v>
      </c>
      <c r="BM3" s="2" t="s">
        <v>1006</v>
      </c>
      <c r="BN3" s="2" t="s">
        <v>1006</v>
      </c>
      <c r="BO3" s="2" t="s">
        <v>1006</v>
      </c>
      <c r="BP3" s="2" t="s">
        <v>1006</v>
      </c>
      <c r="BQ3" s="2" t="s">
        <v>1006</v>
      </c>
      <c r="BR3" s="2" t="s">
        <v>1006</v>
      </c>
      <c r="BS3" s="2" t="s">
        <v>1006</v>
      </c>
      <c r="BT3" s="2" t="s">
        <v>1006</v>
      </c>
      <c r="BU3" s="2" t="s">
        <v>1006</v>
      </c>
      <c r="BV3" s="2" t="s">
        <v>1006</v>
      </c>
      <c r="BW3" s="2" t="s">
        <v>1006</v>
      </c>
      <c r="BX3" s="2" t="s">
        <v>1006</v>
      </c>
      <c r="BY3" s="2" t="s">
        <v>1006</v>
      </c>
      <c r="BZ3" s="2" t="s">
        <v>1006</v>
      </c>
      <c r="CA3" s="2" t="s">
        <v>1006</v>
      </c>
      <c r="CB3" s="2" t="s">
        <v>1006</v>
      </c>
      <c r="CC3" s="2" t="s">
        <v>1006</v>
      </c>
      <c r="CD3" s="2" t="s">
        <v>1006</v>
      </c>
      <c r="CE3" s="2" t="s">
        <v>1006</v>
      </c>
      <c r="CF3" s="2" t="s">
        <v>1006</v>
      </c>
      <c r="CG3" s="2" t="s">
        <v>1006</v>
      </c>
      <c r="CH3" s="2" t="s">
        <v>1006</v>
      </c>
      <c r="CI3" s="2" t="s">
        <v>1006</v>
      </c>
      <c r="CJ3" s="2" t="s">
        <v>1006</v>
      </c>
      <c r="CK3" s="2" t="s">
        <v>1006</v>
      </c>
      <c r="CL3" s="2" t="s">
        <v>1006</v>
      </c>
      <c r="CM3" s="2" t="s">
        <v>1006</v>
      </c>
      <c r="CN3" s="2" t="s">
        <v>1006</v>
      </c>
      <c r="CO3" s="2" t="s">
        <v>1006</v>
      </c>
      <c r="CP3" s="2" t="s">
        <v>1006</v>
      </c>
      <c r="CQ3" s="15" t="s">
        <v>1006</v>
      </c>
      <c r="CR3" s="15" t="s">
        <v>1006</v>
      </c>
      <c r="CS3" s="15" t="s">
        <v>1006</v>
      </c>
      <c r="CT3" s="15" t="s">
        <v>1006</v>
      </c>
      <c r="CU3" s="15" t="s">
        <v>1006</v>
      </c>
      <c r="CV3" s="18" t="s">
        <v>1076</v>
      </c>
      <c r="CW3" s="18" t="s">
        <v>1076</v>
      </c>
      <c r="CX3" s="19" t="s">
        <v>1077</v>
      </c>
      <c r="CY3" s="18" t="s">
        <v>1078</v>
      </c>
      <c r="CZ3" s="9" t="s">
        <v>1079</v>
      </c>
      <c r="DA3" s="1" t="s">
        <v>1044</v>
      </c>
      <c r="DB3" s="1" t="s">
        <v>475</v>
      </c>
      <c r="DC3" s="1" t="s">
        <v>475</v>
      </c>
      <c r="DD3" s="1" t="s">
        <v>475</v>
      </c>
      <c r="DE3" s="1" t="s">
        <v>475</v>
      </c>
      <c r="DF3" s="1" t="s">
        <v>475</v>
      </c>
    </row>
    <row r="4" spans="1:110" ht="14" customHeight="1">
      <c r="A4" s="1" t="s">
        <v>736</v>
      </c>
      <c r="B4" s="1"/>
      <c r="C4" s="1"/>
      <c r="D4" s="1"/>
      <c r="E4" s="2"/>
      <c r="F4" s="2"/>
      <c r="G4" s="2"/>
      <c r="H4" s="2"/>
      <c r="I4" s="2"/>
      <c r="J4" s="2"/>
      <c r="K4" s="2"/>
      <c r="L4" s="2"/>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15"/>
      <c r="CR4" s="15"/>
      <c r="CS4" s="15"/>
      <c r="CT4" s="15"/>
      <c r="CU4" s="15"/>
      <c r="CV4" s="18"/>
      <c r="CW4" s="18"/>
      <c r="CX4" s="19"/>
      <c r="CY4" s="18" t="s">
        <v>1102</v>
      </c>
      <c r="CZ4" s="20"/>
      <c r="DA4" s="1"/>
      <c r="DB4" s="1"/>
      <c r="DC4" s="1"/>
      <c r="DD4" s="1"/>
      <c r="DE4" s="1"/>
      <c r="DF4" s="1"/>
    </row>
    <row r="5" spans="1:110">
      <c r="A5" s="1" t="s">
        <v>737</v>
      </c>
      <c r="B5" s="1"/>
      <c r="C5" s="1"/>
      <c r="D5" s="1"/>
      <c r="E5" s="2" t="s">
        <v>738</v>
      </c>
      <c r="F5" s="2" t="s">
        <v>738</v>
      </c>
      <c r="G5" s="2" t="s">
        <v>738</v>
      </c>
      <c r="H5" s="2" t="s">
        <v>738</v>
      </c>
      <c r="I5" s="2" t="s">
        <v>738</v>
      </c>
      <c r="J5" s="2" t="s">
        <v>738</v>
      </c>
      <c r="K5" s="2" t="s">
        <v>738</v>
      </c>
      <c r="L5" s="2" t="s">
        <v>738</v>
      </c>
      <c r="M5" s="1" t="s">
        <v>138</v>
      </c>
      <c r="N5" s="1" t="s">
        <v>138</v>
      </c>
      <c r="O5" s="1" t="s">
        <v>138</v>
      </c>
      <c r="P5" s="1" t="s">
        <v>138</v>
      </c>
      <c r="Q5" s="1" t="s">
        <v>138</v>
      </c>
      <c r="R5" s="1" t="s">
        <v>138</v>
      </c>
      <c r="S5" s="1" t="s">
        <v>138</v>
      </c>
      <c r="T5" s="1" t="s">
        <v>138</v>
      </c>
      <c r="U5" s="1" t="s">
        <v>138</v>
      </c>
      <c r="V5" s="1" t="s">
        <v>138</v>
      </c>
      <c r="W5" s="1" t="s">
        <v>138</v>
      </c>
      <c r="X5" s="1" t="s">
        <v>138</v>
      </c>
      <c r="Y5" s="1" t="s">
        <v>138</v>
      </c>
      <c r="Z5" s="1" t="s">
        <v>138</v>
      </c>
      <c r="AA5" s="1" t="s">
        <v>138</v>
      </c>
      <c r="AB5" s="1" t="s">
        <v>138</v>
      </c>
      <c r="AC5" s="1" t="s">
        <v>138</v>
      </c>
      <c r="AD5" s="1" t="s">
        <v>138</v>
      </c>
      <c r="AE5" s="1" t="s">
        <v>138</v>
      </c>
      <c r="AF5" s="1" t="s">
        <v>138</v>
      </c>
      <c r="AG5" s="1" t="s">
        <v>138</v>
      </c>
      <c r="AH5" s="1" t="s">
        <v>138</v>
      </c>
      <c r="AI5" s="1" t="s">
        <v>138</v>
      </c>
      <c r="AJ5" s="1" t="s">
        <v>138</v>
      </c>
      <c r="AK5" s="1" t="s">
        <v>138</v>
      </c>
      <c r="AL5" s="1" t="s">
        <v>138</v>
      </c>
      <c r="AM5" s="1" t="s">
        <v>138</v>
      </c>
      <c r="AN5" s="1" t="s">
        <v>138</v>
      </c>
      <c r="AO5" s="1" t="s">
        <v>138</v>
      </c>
      <c r="AP5" s="1" t="s">
        <v>138</v>
      </c>
      <c r="AQ5" s="1" t="s">
        <v>138</v>
      </c>
      <c r="AR5" s="1" t="s">
        <v>138</v>
      </c>
      <c r="AS5" s="1" t="s">
        <v>138</v>
      </c>
      <c r="AT5" s="1" t="s">
        <v>138</v>
      </c>
      <c r="AU5" s="1" t="s">
        <v>138</v>
      </c>
      <c r="AV5" s="1" t="s">
        <v>138</v>
      </c>
      <c r="AW5" s="1" t="s">
        <v>138</v>
      </c>
      <c r="AX5" s="1" t="s">
        <v>138</v>
      </c>
      <c r="AY5" s="1" t="s">
        <v>138</v>
      </c>
      <c r="AZ5" s="1" t="s">
        <v>138</v>
      </c>
      <c r="BA5" s="1" t="s">
        <v>138</v>
      </c>
      <c r="BB5" s="1" t="s">
        <v>138</v>
      </c>
      <c r="BC5" s="1" t="s">
        <v>138</v>
      </c>
      <c r="BD5" s="1" t="s">
        <v>138</v>
      </c>
      <c r="BE5" s="1" t="s">
        <v>138</v>
      </c>
      <c r="BF5" s="15" t="s">
        <v>594</v>
      </c>
      <c r="BG5" s="15" t="s">
        <v>594</v>
      </c>
      <c r="BH5" s="15" t="s">
        <v>594</v>
      </c>
      <c r="BI5" s="15" t="s">
        <v>594</v>
      </c>
      <c r="BJ5" s="15" t="s">
        <v>594</v>
      </c>
      <c r="BK5" s="15" t="s">
        <v>594</v>
      </c>
      <c r="BL5" s="15" t="s">
        <v>594</v>
      </c>
      <c r="BM5" s="15" t="s">
        <v>1202</v>
      </c>
      <c r="BN5" s="15" t="s">
        <v>1202</v>
      </c>
      <c r="BO5" s="15" t="s">
        <v>1202</v>
      </c>
      <c r="BP5" s="15" t="s">
        <v>1202</v>
      </c>
      <c r="BQ5" s="15" t="s">
        <v>1202</v>
      </c>
      <c r="BR5" s="15" t="s">
        <v>1202</v>
      </c>
      <c r="BS5" s="15" t="s">
        <v>1202</v>
      </c>
      <c r="BT5" s="15" t="s">
        <v>1202</v>
      </c>
      <c r="BU5" s="15" t="s">
        <v>1202</v>
      </c>
      <c r="BV5" s="15" t="s">
        <v>1202</v>
      </c>
      <c r="BW5" s="15" t="s">
        <v>1202</v>
      </c>
      <c r="BX5" s="15" t="s">
        <v>1202</v>
      </c>
      <c r="BY5" s="15" t="s">
        <v>1202</v>
      </c>
      <c r="BZ5" s="15" t="s">
        <v>1202</v>
      </c>
      <c r="CA5" s="15" t="s">
        <v>1202</v>
      </c>
      <c r="CB5" s="15" t="s">
        <v>1202</v>
      </c>
      <c r="CC5" s="15" t="s">
        <v>1202</v>
      </c>
      <c r="CD5" s="15" t="s">
        <v>1202</v>
      </c>
      <c r="CE5" s="15" t="s">
        <v>1202</v>
      </c>
      <c r="CF5" s="15" t="s">
        <v>1202</v>
      </c>
      <c r="CG5" s="15" t="s">
        <v>1202</v>
      </c>
      <c r="CH5" s="15" t="s">
        <v>1202</v>
      </c>
      <c r="CI5" s="15" t="s">
        <v>1202</v>
      </c>
      <c r="CJ5" s="15" t="s">
        <v>1202</v>
      </c>
      <c r="CK5" s="15" t="s">
        <v>1202</v>
      </c>
      <c r="CL5" s="15" t="s">
        <v>1202</v>
      </c>
      <c r="CM5" s="15" t="s">
        <v>1202</v>
      </c>
      <c r="CN5" s="15" t="s">
        <v>1202</v>
      </c>
      <c r="CO5" s="15" t="s">
        <v>1202</v>
      </c>
      <c r="CP5" s="15" t="s">
        <v>1202</v>
      </c>
      <c r="CQ5" s="15" t="s">
        <v>1202</v>
      </c>
      <c r="CR5" s="15" t="s">
        <v>1202</v>
      </c>
      <c r="CS5" s="15" t="s">
        <v>1202</v>
      </c>
      <c r="CT5" s="15" t="s">
        <v>1202</v>
      </c>
      <c r="CU5" s="15" t="s">
        <v>1202</v>
      </c>
      <c r="CV5" s="18" t="s">
        <v>1213</v>
      </c>
      <c r="CW5" s="18" t="s">
        <v>1091</v>
      </c>
      <c r="CX5" s="20" t="s">
        <v>463</v>
      </c>
      <c r="CY5" s="18" t="s">
        <v>1213</v>
      </c>
      <c r="CZ5" s="20" t="s">
        <v>463</v>
      </c>
      <c r="DA5" s="1" t="s">
        <v>488</v>
      </c>
      <c r="DB5" s="1" t="s">
        <v>488</v>
      </c>
      <c r="DC5" s="1" t="s">
        <v>488</v>
      </c>
      <c r="DD5" s="1" t="s">
        <v>488</v>
      </c>
      <c r="DE5" s="1" t="s">
        <v>488</v>
      </c>
      <c r="DF5" s="1" t="s">
        <v>488</v>
      </c>
    </row>
    <row r="6" spans="1:110">
      <c r="A6" s="42" t="s">
        <v>560</v>
      </c>
      <c r="B6" s="42"/>
      <c r="C6" s="42"/>
      <c r="D6" s="42"/>
      <c r="E6" s="43">
        <v>1895</v>
      </c>
      <c r="F6" s="43">
        <v>1914</v>
      </c>
      <c r="G6" s="43">
        <v>1947</v>
      </c>
      <c r="H6" s="43">
        <v>1960</v>
      </c>
      <c r="I6" s="43">
        <v>1970</v>
      </c>
      <c r="J6" s="43">
        <v>1980</v>
      </c>
      <c r="K6" s="43">
        <v>1991</v>
      </c>
      <c r="L6" s="43">
        <v>2001</v>
      </c>
      <c r="M6" s="33" t="s">
        <v>374</v>
      </c>
      <c r="N6" s="33" t="s">
        <v>351</v>
      </c>
      <c r="O6" s="33" t="s">
        <v>352</v>
      </c>
      <c r="P6" s="33" t="s">
        <v>353</v>
      </c>
      <c r="Q6" s="33" t="s">
        <v>354</v>
      </c>
      <c r="R6" s="33" t="s">
        <v>355</v>
      </c>
      <c r="S6" s="33" t="s">
        <v>356</v>
      </c>
      <c r="T6" s="33" t="s">
        <v>357</v>
      </c>
      <c r="U6" s="33" t="s">
        <v>358</v>
      </c>
      <c r="V6" s="33" t="s">
        <v>359</v>
      </c>
      <c r="W6" s="33" t="s">
        <v>375</v>
      </c>
      <c r="X6" s="33">
        <v>1981</v>
      </c>
      <c r="Y6" s="33">
        <v>1982</v>
      </c>
      <c r="Z6" s="33">
        <v>1983</v>
      </c>
      <c r="AA6" s="33">
        <v>1984</v>
      </c>
      <c r="AB6" s="33">
        <v>1985</v>
      </c>
      <c r="AC6" s="33">
        <v>1986</v>
      </c>
      <c r="AD6" s="33">
        <v>1987</v>
      </c>
      <c r="AE6" s="33">
        <v>1988</v>
      </c>
      <c r="AF6" s="33">
        <v>1989</v>
      </c>
      <c r="AG6" s="33" t="s">
        <v>360</v>
      </c>
      <c r="AH6" s="33" t="s">
        <v>376</v>
      </c>
      <c r="AI6" s="33">
        <v>1992</v>
      </c>
      <c r="AJ6" s="33">
        <v>1993</v>
      </c>
      <c r="AK6" s="33">
        <v>1994</v>
      </c>
      <c r="AL6" s="33">
        <v>1995</v>
      </c>
      <c r="AM6" s="33">
        <v>1996</v>
      </c>
      <c r="AN6" s="33">
        <v>1997</v>
      </c>
      <c r="AO6" s="33">
        <v>1998</v>
      </c>
      <c r="AP6" s="33">
        <v>1999</v>
      </c>
      <c r="AQ6" s="33">
        <v>2000</v>
      </c>
      <c r="AR6" s="33" t="s">
        <v>377</v>
      </c>
      <c r="AS6" s="33" t="s">
        <v>361</v>
      </c>
      <c r="AT6" s="33" t="s">
        <v>476</v>
      </c>
      <c r="AU6" s="33" t="s">
        <v>477</v>
      </c>
      <c r="AV6" s="33" t="s">
        <v>329</v>
      </c>
      <c r="AW6" s="33" t="s">
        <v>478</v>
      </c>
      <c r="AX6" s="33" t="s">
        <v>478</v>
      </c>
      <c r="AY6" s="33" t="s">
        <v>479</v>
      </c>
      <c r="AZ6" s="33" t="s">
        <v>328</v>
      </c>
      <c r="BA6" s="33" t="s">
        <v>378</v>
      </c>
      <c r="BB6" s="33" t="s">
        <v>1812</v>
      </c>
      <c r="BC6" s="33" t="s">
        <v>1869</v>
      </c>
      <c r="BD6" s="33" t="s">
        <v>1927</v>
      </c>
      <c r="BE6" s="33" t="s">
        <v>3348</v>
      </c>
      <c r="BF6" s="33">
        <v>1960</v>
      </c>
      <c r="BG6" s="33">
        <v>1961</v>
      </c>
      <c r="BH6" s="33">
        <v>1962</v>
      </c>
      <c r="BI6" s="33">
        <v>1963</v>
      </c>
      <c r="BJ6" s="33">
        <v>1964</v>
      </c>
      <c r="BK6" s="33">
        <v>1965</v>
      </c>
      <c r="BL6" s="33">
        <v>1966</v>
      </c>
      <c r="BM6" s="33">
        <v>1967</v>
      </c>
      <c r="BN6" s="33">
        <v>1968</v>
      </c>
      <c r="BO6" s="33">
        <v>1969</v>
      </c>
      <c r="BP6" s="33">
        <v>1970</v>
      </c>
      <c r="BQ6" s="33">
        <v>1971</v>
      </c>
      <c r="BR6" s="33">
        <v>1972</v>
      </c>
      <c r="BS6" s="33">
        <v>1973</v>
      </c>
      <c r="BT6" s="33">
        <v>1974</v>
      </c>
      <c r="BU6" s="33">
        <v>1975</v>
      </c>
      <c r="BV6" s="33">
        <v>1976</v>
      </c>
      <c r="BW6" s="33">
        <v>1977</v>
      </c>
      <c r="BX6" s="33">
        <v>1978</v>
      </c>
      <c r="BY6" s="33">
        <v>1979</v>
      </c>
      <c r="BZ6" s="33">
        <v>1980</v>
      </c>
      <c r="CA6" s="33">
        <v>1981</v>
      </c>
      <c r="CB6" s="33">
        <v>1982</v>
      </c>
      <c r="CC6" s="33">
        <v>1983</v>
      </c>
      <c r="CD6" s="33">
        <v>1984</v>
      </c>
      <c r="CE6" s="33">
        <v>1985</v>
      </c>
      <c r="CF6" s="33">
        <v>1986</v>
      </c>
      <c r="CG6" s="33">
        <v>1987</v>
      </c>
      <c r="CH6" s="33">
        <v>1988</v>
      </c>
      <c r="CI6" s="33">
        <v>1989</v>
      </c>
      <c r="CJ6" s="33">
        <v>1990</v>
      </c>
      <c r="CK6" s="33">
        <v>1991</v>
      </c>
      <c r="CL6" s="33">
        <v>1992</v>
      </c>
      <c r="CM6" s="33">
        <v>1993</v>
      </c>
      <c r="CN6" s="33">
        <v>1994</v>
      </c>
      <c r="CO6" s="33">
        <v>1995</v>
      </c>
      <c r="CP6" s="33">
        <v>1996</v>
      </c>
      <c r="CQ6" s="33">
        <v>1997</v>
      </c>
      <c r="CR6" s="33">
        <v>1998</v>
      </c>
      <c r="CS6" s="33">
        <v>1999</v>
      </c>
      <c r="CT6" s="33">
        <v>2000</v>
      </c>
      <c r="CU6" s="33" t="s">
        <v>1115</v>
      </c>
      <c r="CV6" s="33" t="s">
        <v>1116</v>
      </c>
      <c r="CW6" s="44">
        <v>2001</v>
      </c>
      <c r="CX6" s="42">
        <v>1996</v>
      </c>
      <c r="CY6" s="44">
        <v>1991</v>
      </c>
      <c r="CZ6" s="42">
        <v>1996</v>
      </c>
      <c r="DA6" s="42">
        <v>1980</v>
      </c>
      <c r="DB6" s="42">
        <v>1980</v>
      </c>
      <c r="DC6" s="42">
        <v>1990</v>
      </c>
      <c r="DD6" s="42">
        <v>2000</v>
      </c>
      <c r="DE6" s="42">
        <v>2004</v>
      </c>
      <c r="DF6" s="42">
        <v>2006</v>
      </c>
    </row>
    <row r="7" spans="1:110" ht="77">
      <c r="A7" s="7" t="s">
        <v>3334</v>
      </c>
      <c r="B7" s="1"/>
      <c r="C7" s="1"/>
      <c r="D7" s="1"/>
      <c r="E7" s="2" t="s">
        <v>674</v>
      </c>
      <c r="F7" s="2" t="s">
        <v>571</v>
      </c>
      <c r="G7" s="2" t="s">
        <v>696</v>
      </c>
      <c r="H7" s="2" t="s">
        <v>697</v>
      </c>
      <c r="I7" s="2" t="s">
        <v>778</v>
      </c>
      <c r="J7" s="2" t="s">
        <v>601</v>
      </c>
      <c r="K7" s="2" t="s">
        <v>676</v>
      </c>
      <c r="L7" s="2" t="s">
        <v>519</v>
      </c>
      <c r="M7" s="2" t="s">
        <v>778</v>
      </c>
      <c r="N7" s="2" t="s">
        <v>1196</v>
      </c>
      <c r="O7" s="2" t="s">
        <v>1214</v>
      </c>
      <c r="P7" s="2" t="s">
        <v>1217</v>
      </c>
      <c r="Q7" s="2" t="s">
        <v>1209</v>
      </c>
      <c r="R7" s="2" t="s">
        <v>1210</v>
      </c>
      <c r="S7" s="2" t="s">
        <v>1194</v>
      </c>
      <c r="T7" s="2" t="s">
        <v>1052</v>
      </c>
      <c r="U7" s="2" t="s">
        <v>1053</v>
      </c>
      <c r="V7" s="2" t="s">
        <v>1197</v>
      </c>
      <c r="W7" s="2" t="s">
        <v>601</v>
      </c>
      <c r="X7" s="2" t="s">
        <v>1198</v>
      </c>
      <c r="Y7" s="2" t="s">
        <v>1118</v>
      </c>
      <c r="Z7" s="2" t="s">
        <v>1050</v>
      </c>
      <c r="AA7" s="2" t="s">
        <v>1051</v>
      </c>
      <c r="AB7" s="2" t="s">
        <v>1243</v>
      </c>
      <c r="AC7" s="2" t="s">
        <v>1157</v>
      </c>
      <c r="AD7" s="2" t="s">
        <v>958</v>
      </c>
      <c r="AE7" s="2" t="s">
        <v>959</v>
      </c>
      <c r="AF7" s="2" t="s">
        <v>1150</v>
      </c>
      <c r="AG7" s="2" t="s">
        <v>1151</v>
      </c>
      <c r="AH7" s="2" t="s">
        <v>676</v>
      </c>
      <c r="AI7" s="2" t="s">
        <v>1303</v>
      </c>
      <c r="AJ7" s="2" t="s">
        <v>1175</v>
      </c>
      <c r="AK7" s="2" t="s">
        <v>1176</v>
      </c>
      <c r="AL7" s="2" t="s">
        <v>1177</v>
      </c>
      <c r="AM7" s="2" t="s">
        <v>1135</v>
      </c>
      <c r="AN7" s="15" t="s">
        <v>1136</v>
      </c>
      <c r="AO7" s="15" t="s">
        <v>1137</v>
      </c>
      <c r="AP7" s="15" t="s">
        <v>1246</v>
      </c>
      <c r="AQ7" s="15" t="s">
        <v>1247</v>
      </c>
      <c r="AR7" s="15" t="s">
        <v>1248</v>
      </c>
      <c r="AS7" s="15" t="s">
        <v>296</v>
      </c>
      <c r="AT7" s="15" t="s">
        <v>297</v>
      </c>
      <c r="AU7" s="15" t="s">
        <v>348</v>
      </c>
      <c r="AV7" s="15" t="s">
        <v>349</v>
      </c>
      <c r="AW7" s="15" t="s">
        <v>538</v>
      </c>
      <c r="AX7" s="15" t="s">
        <v>481</v>
      </c>
      <c r="AY7" s="15" t="s">
        <v>534</v>
      </c>
      <c r="AZ7" s="15" t="s">
        <v>350</v>
      </c>
      <c r="BA7" s="15" t="s">
        <v>295</v>
      </c>
      <c r="BB7" s="15" t="s">
        <v>1865</v>
      </c>
      <c r="BC7" s="15" t="s">
        <v>2963</v>
      </c>
      <c r="BD7" s="15" t="s">
        <v>3366</v>
      </c>
      <c r="BE7" s="15" t="s">
        <v>3367</v>
      </c>
      <c r="BF7" s="2" t="s">
        <v>697</v>
      </c>
      <c r="BG7" s="2" t="s">
        <v>749</v>
      </c>
      <c r="BH7" s="2" t="s">
        <v>752</v>
      </c>
      <c r="BI7" s="2" t="s">
        <v>753</v>
      </c>
      <c r="BJ7" s="2" t="s">
        <v>762</v>
      </c>
      <c r="BK7" s="2" t="s">
        <v>852</v>
      </c>
      <c r="BL7" s="2" t="s">
        <v>862</v>
      </c>
      <c r="BM7" s="2" t="s">
        <v>1117</v>
      </c>
      <c r="BN7" s="2" t="s">
        <v>1200</v>
      </c>
      <c r="BO7" s="2" t="s">
        <v>1201</v>
      </c>
      <c r="BP7" s="2" t="s">
        <v>778</v>
      </c>
      <c r="BQ7" s="2" t="s">
        <v>1196</v>
      </c>
      <c r="BR7" s="2" t="s">
        <v>1214</v>
      </c>
      <c r="BS7" s="2" t="s">
        <v>1217</v>
      </c>
      <c r="BT7" s="2" t="s">
        <v>1209</v>
      </c>
      <c r="BU7" s="2" t="s">
        <v>1210</v>
      </c>
      <c r="BV7" s="2" t="s">
        <v>1194</v>
      </c>
      <c r="BW7" s="2" t="s">
        <v>1052</v>
      </c>
      <c r="BX7" s="2" t="s">
        <v>1053</v>
      </c>
      <c r="BY7" s="2" t="s">
        <v>1197</v>
      </c>
      <c r="BZ7" s="2" t="s">
        <v>601</v>
      </c>
      <c r="CA7" s="2" t="s">
        <v>1198</v>
      </c>
      <c r="CB7" s="2" t="s">
        <v>1118</v>
      </c>
      <c r="CC7" s="2" t="s">
        <v>1050</v>
      </c>
      <c r="CD7" s="2" t="s">
        <v>1051</v>
      </c>
      <c r="CE7" s="2" t="s">
        <v>1243</v>
      </c>
      <c r="CF7" s="2" t="s">
        <v>1157</v>
      </c>
      <c r="CG7" s="2" t="s">
        <v>958</v>
      </c>
      <c r="CH7" s="2" t="s">
        <v>959</v>
      </c>
      <c r="CI7" s="2" t="s">
        <v>1150</v>
      </c>
      <c r="CJ7" s="2" t="s">
        <v>1151</v>
      </c>
      <c r="CK7" s="2" t="s">
        <v>676</v>
      </c>
      <c r="CL7" s="2" t="s">
        <v>1303</v>
      </c>
      <c r="CM7" s="2" t="s">
        <v>1175</v>
      </c>
      <c r="CN7" s="2" t="s">
        <v>1176</v>
      </c>
      <c r="CO7" s="2" t="s">
        <v>1177</v>
      </c>
      <c r="CP7" s="2" t="s">
        <v>1135</v>
      </c>
      <c r="CQ7" s="15" t="s">
        <v>1136</v>
      </c>
      <c r="CR7" s="15" t="s">
        <v>1137</v>
      </c>
      <c r="CS7" s="15" t="s">
        <v>1246</v>
      </c>
      <c r="CT7" s="15" t="s">
        <v>1247</v>
      </c>
      <c r="CU7" s="15" t="s">
        <v>1248</v>
      </c>
      <c r="CV7" s="18" t="s">
        <v>1029</v>
      </c>
      <c r="CW7" s="18" t="s">
        <v>1158</v>
      </c>
      <c r="CX7" s="19" t="s">
        <v>1159</v>
      </c>
      <c r="CY7" s="18" t="s">
        <v>798</v>
      </c>
      <c r="CZ7" s="20" t="s">
        <v>968</v>
      </c>
      <c r="DA7" s="1" t="s">
        <v>1144</v>
      </c>
      <c r="DB7" s="1" t="s">
        <v>500</v>
      </c>
      <c r="DC7" s="1" t="s">
        <v>431</v>
      </c>
      <c r="DD7" s="1" t="s">
        <v>432</v>
      </c>
      <c r="DE7" s="1" t="s">
        <v>410</v>
      </c>
      <c r="DF7" s="1" t="s">
        <v>411</v>
      </c>
    </row>
    <row r="8" spans="1:110">
      <c r="A8" s="9" t="s">
        <v>572</v>
      </c>
      <c r="B8" s="9" t="s">
        <v>770</v>
      </c>
      <c r="C8" s="9" t="s">
        <v>771</v>
      </c>
      <c r="D8" s="9" t="s">
        <v>772</v>
      </c>
      <c r="E8" s="9" t="s">
        <v>891</v>
      </c>
      <c r="F8" s="9" t="s">
        <v>520</v>
      </c>
      <c r="G8" s="9" t="s">
        <v>521</v>
      </c>
      <c r="H8" s="9" t="s">
        <v>782</v>
      </c>
      <c r="I8" s="9" t="s">
        <v>783</v>
      </c>
      <c r="J8" s="9" t="s">
        <v>812</v>
      </c>
      <c r="K8" s="9" t="s">
        <v>703</v>
      </c>
      <c r="L8" s="9" t="s">
        <v>816</v>
      </c>
      <c r="M8" s="9" t="s">
        <v>379</v>
      </c>
      <c r="N8" s="9" t="s">
        <v>330</v>
      </c>
      <c r="O8" s="9" t="s">
        <v>331</v>
      </c>
      <c r="P8" s="9" t="s">
        <v>332</v>
      </c>
      <c r="Q8" s="9" t="s">
        <v>419</v>
      </c>
      <c r="R8" s="9" t="s">
        <v>420</v>
      </c>
      <c r="S8" s="9" t="s">
        <v>459</v>
      </c>
      <c r="T8" s="9" t="s">
        <v>460</v>
      </c>
      <c r="U8" s="9" t="s">
        <v>498</v>
      </c>
      <c r="V8" s="9" t="s">
        <v>421</v>
      </c>
      <c r="W8" s="9" t="s">
        <v>380</v>
      </c>
      <c r="X8" s="9" t="s">
        <v>422</v>
      </c>
      <c r="Y8" s="9" t="s">
        <v>423</v>
      </c>
      <c r="Z8" s="9" t="s">
        <v>424</v>
      </c>
      <c r="AA8" s="9" t="s">
        <v>425</v>
      </c>
      <c r="AB8" s="9" t="s">
        <v>426</v>
      </c>
      <c r="AC8" s="9" t="s">
        <v>387</v>
      </c>
      <c r="AD8" s="9" t="s">
        <v>388</v>
      </c>
      <c r="AE8" s="9" t="s">
        <v>389</v>
      </c>
      <c r="AF8" s="9" t="s">
        <v>334</v>
      </c>
      <c r="AG8" s="9" t="s">
        <v>335</v>
      </c>
      <c r="AH8" s="9" t="s">
        <v>381</v>
      </c>
      <c r="AI8" s="9" t="s">
        <v>336</v>
      </c>
      <c r="AJ8" s="9" t="s">
        <v>337</v>
      </c>
      <c r="AK8" s="9" t="s">
        <v>338</v>
      </c>
      <c r="AL8" s="9" t="s">
        <v>339</v>
      </c>
      <c r="AM8" s="9" t="s">
        <v>340</v>
      </c>
      <c r="AN8" s="9" t="s">
        <v>341</v>
      </c>
      <c r="AO8" s="9" t="s">
        <v>310</v>
      </c>
      <c r="AP8" s="9" t="s">
        <v>311</v>
      </c>
      <c r="AQ8" s="9" t="s">
        <v>393</v>
      </c>
      <c r="AR8" s="9" t="s">
        <v>382</v>
      </c>
      <c r="AS8" s="9" t="s">
        <v>324</v>
      </c>
      <c r="AT8" s="9" t="s">
        <v>325</v>
      </c>
      <c r="AU8" s="9" t="s">
        <v>326</v>
      </c>
      <c r="AV8" s="9" t="s">
        <v>342</v>
      </c>
      <c r="AW8" s="9" t="s">
        <v>343</v>
      </c>
      <c r="AX8" s="9" t="s">
        <v>428</v>
      </c>
      <c r="AY8" s="9" t="s">
        <v>429</v>
      </c>
      <c r="AZ8" s="9" t="s">
        <v>430</v>
      </c>
      <c r="BA8" s="9" t="s">
        <v>383</v>
      </c>
      <c r="BB8" s="9" t="s">
        <v>1866</v>
      </c>
      <c r="BC8" s="9" t="s">
        <v>1968</v>
      </c>
      <c r="BD8" s="9" t="s">
        <v>3368</v>
      </c>
      <c r="BE8" s="9" t="s">
        <v>3369</v>
      </c>
      <c r="BF8" s="9" t="s">
        <v>750</v>
      </c>
      <c r="BG8" s="9" t="s">
        <v>618</v>
      </c>
      <c r="BH8" s="9" t="s">
        <v>619</v>
      </c>
      <c r="BI8" s="9" t="s">
        <v>708</v>
      </c>
      <c r="BJ8" s="9" t="s">
        <v>709</v>
      </c>
      <c r="BK8" s="9" t="s">
        <v>710</v>
      </c>
      <c r="BL8" s="9" t="s">
        <v>924</v>
      </c>
      <c r="BM8" s="9" t="s">
        <v>1138</v>
      </c>
      <c r="BN8" s="9" t="s">
        <v>1139</v>
      </c>
      <c r="BO8" s="9" t="s">
        <v>1140</v>
      </c>
      <c r="BP8" s="9" t="s">
        <v>1141</v>
      </c>
      <c r="BQ8" s="9" t="s">
        <v>1152</v>
      </c>
      <c r="BR8" s="9" t="s">
        <v>1249</v>
      </c>
      <c r="BS8" s="9" t="s">
        <v>1250</v>
      </c>
      <c r="BT8" s="9" t="s">
        <v>1024</v>
      </c>
      <c r="BU8" s="9" t="s">
        <v>1025</v>
      </c>
      <c r="BV8" s="9" t="s">
        <v>1160</v>
      </c>
      <c r="BW8" s="9" t="s">
        <v>1226</v>
      </c>
      <c r="BX8" s="9" t="s">
        <v>1227</v>
      </c>
      <c r="BY8" s="9" t="s">
        <v>1228</v>
      </c>
      <c r="BZ8" s="9" t="s">
        <v>1229</v>
      </c>
      <c r="CA8" s="9" t="s">
        <v>1230</v>
      </c>
      <c r="CB8" s="9" t="s">
        <v>1161</v>
      </c>
      <c r="CC8" s="9" t="s">
        <v>1087</v>
      </c>
      <c r="CD8" s="9" t="s">
        <v>1088</v>
      </c>
      <c r="CE8" s="9" t="s">
        <v>1089</v>
      </c>
      <c r="CF8" s="9" t="s">
        <v>1203</v>
      </c>
      <c r="CG8" s="9" t="s">
        <v>1204</v>
      </c>
      <c r="CH8" s="9" t="s">
        <v>1101</v>
      </c>
      <c r="CI8" s="9" t="s">
        <v>1220</v>
      </c>
      <c r="CJ8" s="9" t="s">
        <v>1221</v>
      </c>
      <c r="CK8" s="9" t="s">
        <v>1222</v>
      </c>
      <c r="CL8" s="9" t="s">
        <v>1162</v>
      </c>
      <c r="CM8" s="9" t="s">
        <v>1163</v>
      </c>
      <c r="CN8" s="9" t="s">
        <v>1164</v>
      </c>
      <c r="CO8" s="9" t="s">
        <v>1165</v>
      </c>
      <c r="CP8" s="9" t="s">
        <v>1166</v>
      </c>
      <c r="CQ8" s="9" t="s">
        <v>1167</v>
      </c>
      <c r="CR8" s="9" t="s">
        <v>1168</v>
      </c>
      <c r="CS8" s="9" t="s">
        <v>1231</v>
      </c>
      <c r="CT8" s="9" t="s">
        <v>1232</v>
      </c>
      <c r="CU8" s="9" t="s">
        <v>1233</v>
      </c>
      <c r="CV8" s="21" t="s">
        <v>1234</v>
      </c>
      <c r="CW8" s="21" t="s">
        <v>1169</v>
      </c>
      <c r="CX8" s="22" t="s">
        <v>1170</v>
      </c>
      <c r="CY8" s="21" t="s">
        <v>1171</v>
      </c>
      <c r="CZ8" s="23" t="s">
        <v>1172</v>
      </c>
      <c r="DA8" s="9" t="s">
        <v>1302</v>
      </c>
      <c r="DB8" s="9" t="s">
        <v>404</v>
      </c>
      <c r="DC8" s="9" t="s">
        <v>413</v>
      </c>
      <c r="DD8" s="9" t="s">
        <v>414</v>
      </c>
      <c r="DE8" s="9" t="s">
        <v>402</v>
      </c>
      <c r="DF8" s="9" t="s">
        <v>403</v>
      </c>
    </row>
    <row r="9" spans="1:110">
      <c r="A9" s="3" t="s">
        <v>850</v>
      </c>
      <c r="B9" s="3" t="s">
        <v>851</v>
      </c>
      <c r="C9" s="3">
        <v>1</v>
      </c>
      <c r="D9" s="3" t="s">
        <v>759</v>
      </c>
      <c r="E9" s="12">
        <v>9.8032773248764382</v>
      </c>
      <c r="F9" s="12">
        <v>2066948</v>
      </c>
      <c r="G9" s="12">
        <v>4273874</v>
      </c>
      <c r="H9" s="12">
        <v>6766108</v>
      </c>
      <c r="I9" s="12">
        <v>8774529</v>
      </c>
      <c r="J9" s="12">
        <v>10865408</v>
      </c>
      <c r="K9" s="12">
        <v>12594974</v>
      </c>
      <c r="L9" s="12">
        <v>13827203</v>
      </c>
      <c r="M9" s="55">
        <v>8774529</v>
      </c>
      <c r="N9" s="55">
        <v>8983616.9000000004</v>
      </c>
      <c r="O9" s="55">
        <v>9192704.8000000007</v>
      </c>
      <c r="P9" s="55">
        <v>9401792.6999999993</v>
      </c>
      <c r="Q9" s="55">
        <v>9610880.5999999996</v>
      </c>
      <c r="R9" s="55">
        <v>9819968.5</v>
      </c>
      <c r="S9" s="55">
        <v>10029056</v>
      </c>
      <c r="T9" s="55">
        <v>10238144</v>
      </c>
      <c r="U9" s="55">
        <v>10447232</v>
      </c>
      <c r="V9" s="55">
        <v>10656320</v>
      </c>
      <c r="W9" s="55">
        <v>10865408</v>
      </c>
      <c r="X9" s="55">
        <v>11022641</v>
      </c>
      <c r="Y9" s="55">
        <v>11179875</v>
      </c>
      <c r="Z9" s="55">
        <v>11337108</v>
      </c>
      <c r="AA9" s="55">
        <v>11494341</v>
      </c>
      <c r="AB9" s="55">
        <v>11651574</v>
      </c>
      <c r="AC9" s="55">
        <v>11808808</v>
      </c>
      <c r="AD9" s="55">
        <v>11966041</v>
      </c>
      <c r="AE9" s="55">
        <v>12123274</v>
      </c>
      <c r="AF9" s="55">
        <v>12280507</v>
      </c>
      <c r="AG9" s="55">
        <v>12437741</v>
      </c>
      <c r="AH9" s="55">
        <v>12594974</v>
      </c>
      <c r="AI9" s="55">
        <v>12752189</v>
      </c>
      <c r="AJ9" s="55">
        <v>12909404</v>
      </c>
      <c r="AK9" s="55">
        <v>13066619</v>
      </c>
      <c r="AL9" s="55">
        <v>13223834</v>
      </c>
      <c r="AM9" s="55">
        <v>13381049</v>
      </c>
      <c r="AN9" s="55">
        <v>13538263</v>
      </c>
      <c r="AO9" s="55">
        <v>13695478</v>
      </c>
      <c r="AP9" s="55">
        <v>13852693</v>
      </c>
      <c r="AQ9" s="55">
        <v>14009908</v>
      </c>
      <c r="AR9" s="55">
        <v>14167123</v>
      </c>
      <c r="AS9" s="55">
        <v>14294758</v>
      </c>
      <c r="AT9" s="55">
        <v>14422394</v>
      </c>
      <c r="AU9" s="55">
        <v>14550029</v>
      </c>
      <c r="AV9" s="55">
        <v>14677665</v>
      </c>
      <c r="AW9" s="55">
        <v>14805300</v>
      </c>
      <c r="AX9" s="55">
        <v>14932936</v>
      </c>
      <c r="AY9" s="55">
        <v>15060571</v>
      </c>
      <c r="AZ9" s="55">
        <v>15188207</v>
      </c>
      <c r="BA9" s="55">
        <v>15315842</v>
      </c>
      <c r="BB9" s="55">
        <v>15444306</v>
      </c>
      <c r="BC9" s="12">
        <v>15571686</v>
      </c>
      <c r="BD9" s="212">
        <v>16289599</v>
      </c>
      <c r="BE9" s="212">
        <v>16476149</v>
      </c>
      <c r="BF9" s="12">
        <v>6766108</v>
      </c>
      <c r="BG9" s="12">
        <v>6944283.050618724</v>
      </c>
      <c r="BH9" s="12">
        <v>7127150.0672337031</v>
      </c>
      <c r="BI9" s="12">
        <v>7314832.6055550855</v>
      </c>
      <c r="BJ9" s="12">
        <v>7507457.4749426674</v>
      </c>
      <c r="BK9" s="12">
        <v>7705154.8240857534</v>
      </c>
      <c r="BL9" s="12">
        <v>7908058.2289392659</v>
      </c>
      <c r="BM9" s="12">
        <v>8116304.7829755116</v>
      </c>
      <c r="BN9" s="12">
        <v>8330035.1898125969</v>
      </c>
      <c r="BO9" s="12">
        <v>8549393.858282065</v>
      </c>
      <c r="BP9" s="12">
        <v>8774529</v>
      </c>
      <c r="BQ9" s="12">
        <v>8964086.4489347823</v>
      </c>
      <c r="BR9" s="12">
        <v>9157738.9355002642</v>
      </c>
      <c r="BS9" s="12">
        <v>9355574.9254005942</v>
      </c>
      <c r="BT9" s="12">
        <v>9557684.7954776268</v>
      </c>
      <c r="BU9" s="12">
        <v>9764160.8749975059</v>
      </c>
      <c r="BV9" s="12">
        <v>9975097.4878291842</v>
      </c>
      <c r="BW9" s="12">
        <v>10190590.995534116</v>
      </c>
      <c r="BX9" s="12">
        <v>10410739.841386834</v>
      </c>
      <c r="BY9" s="12">
        <v>10635644.595346503</v>
      </c>
      <c r="BZ9" s="12">
        <v>10865408</v>
      </c>
      <c r="CA9" s="12">
        <v>11012298.362327075</v>
      </c>
      <c r="CB9" s="12">
        <v>11161174.547786109</v>
      </c>
      <c r="CC9" s="12">
        <v>11312063.402886629</v>
      </c>
      <c r="CD9" s="12">
        <v>11464992.137078375</v>
      </c>
      <c r="CE9" s="12">
        <v>11619988.327657919</v>
      </c>
      <c r="CF9" s="12">
        <v>11777079.924741624</v>
      </c>
      <c r="CG9" s="12">
        <v>11936295.256305816</v>
      </c>
      <c r="CH9" s="12">
        <v>12097663.033295112</v>
      </c>
      <c r="CI9" s="12">
        <v>12261212.354799798</v>
      </c>
      <c r="CJ9" s="12">
        <v>12426972.713303203</v>
      </c>
      <c r="CK9" s="12">
        <v>12594974</v>
      </c>
      <c r="CL9" s="12">
        <v>12712301.786473466</v>
      </c>
      <c r="CM9" s="12">
        <v>12830722.533478551</v>
      </c>
      <c r="CN9" s="12">
        <v>12950246.422428878</v>
      </c>
      <c r="CO9" s="12">
        <v>13070883.72958247</v>
      </c>
      <c r="CP9" s="12">
        <v>13192644.826925263</v>
      </c>
      <c r="CQ9" s="24">
        <v>13315540.183062859</v>
      </c>
      <c r="CR9" s="24">
        <v>13439580.364120577</v>
      </c>
      <c r="CS9" s="24">
        <v>13564776.034651896</v>
      </c>
      <c r="CT9" s="24">
        <v>13691137.958555354</v>
      </c>
      <c r="CU9" s="24">
        <v>13818677</v>
      </c>
      <c r="CV9" s="25">
        <v>40.9</v>
      </c>
      <c r="CW9" s="26">
        <v>44.9</v>
      </c>
      <c r="CX9" s="27">
        <v>2.62</v>
      </c>
      <c r="CY9" s="28">
        <v>96</v>
      </c>
      <c r="CZ9" s="72">
        <v>94.5</v>
      </c>
      <c r="DA9" s="74">
        <v>199445</v>
      </c>
      <c r="DB9" s="75">
        <v>199445</v>
      </c>
      <c r="DC9" s="75">
        <v>202950</v>
      </c>
      <c r="DD9" s="75">
        <v>218517</v>
      </c>
      <c r="DE9" s="76">
        <v>234825</v>
      </c>
      <c r="DF9" s="75">
        <v>227208</v>
      </c>
    </row>
    <row r="10" spans="1:110">
      <c r="A10" s="3" t="s">
        <v>667</v>
      </c>
      <c r="B10" s="3" t="s">
        <v>668</v>
      </c>
      <c r="C10" s="3">
        <v>2</v>
      </c>
      <c r="D10" s="3" t="s">
        <v>759</v>
      </c>
      <c r="E10" s="12">
        <v>26.471543369303419</v>
      </c>
      <c r="F10" s="12">
        <v>1575814</v>
      </c>
      <c r="G10" s="12">
        <v>2981043</v>
      </c>
      <c r="H10" s="12">
        <v>2966634</v>
      </c>
      <c r="I10" s="12">
        <v>2972453</v>
      </c>
      <c r="J10" s="12">
        <v>2922829</v>
      </c>
      <c r="K10" s="12">
        <v>2965403</v>
      </c>
      <c r="L10" s="12">
        <v>2776138</v>
      </c>
      <c r="M10" s="55">
        <v>2972453</v>
      </c>
      <c r="N10" s="55">
        <v>2967490.6</v>
      </c>
      <c r="O10" s="55">
        <v>2962528.2</v>
      </c>
      <c r="P10" s="55">
        <v>2957565.8</v>
      </c>
      <c r="Q10" s="55">
        <v>2952603.4</v>
      </c>
      <c r="R10" s="55">
        <v>2947641</v>
      </c>
      <c r="S10" s="55">
        <v>2942678.6</v>
      </c>
      <c r="T10" s="55">
        <v>2937716.2</v>
      </c>
      <c r="U10" s="55">
        <v>2932753.8</v>
      </c>
      <c r="V10" s="55">
        <v>2927791.4</v>
      </c>
      <c r="W10" s="55">
        <v>2922829</v>
      </c>
      <c r="X10" s="55">
        <v>2926699.4</v>
      </c>
      <c r="Y10" s="55">
        <v>2930569.7</v>
      </c>
      <c r="Z10" s="55">
        <v>2934440.1</v>
      </c>
      <c r="AA10" s="55">
        <v>2938310.5</v>
      </c>
      <c r="AB10" s="55">
        <v>2942180.8</v>
      </c>
      <c r="AC10" s="55">
        <v>2946051.2</v>
      </c>
      <c r="AD10" s="55">
        <v>2949921.5</v>
      </c>
      <c r="AE10" s="55">
        <v>2953791.9</v>
      </c>
      <c r="AF10" s="55">
        <v>2957662.3</v>
      </c>
      <c r="AG10" s="55">
        <v>2961532.6</v>
      </c>
      <c r="AH10" s="55">
        <v>2965403</v>
      </c>
      <c r="AI10" s="55">
        <v>2968402.4</v>
      </c>
      <c r="AJ10" s="55">
        <v>2971401.8</v>
      </c>
      <c r="AK10" s="55">
        <v>2974401.2</v>
      </c>
      <c r="AL10" s="55">
        <v>2977400.6</v>
      </c>
      <c r="AM10" s="55">
        <v>2980400</v>
      </c>
      <c r="AN10" s="55">
        <v>2983399.4</v>
      </c>
      <c r="AO10" s="55">
        <v>2986398.8</v>
      </c>
      <c r="AP10" s="55">
        <v>2989398.2</v>
      </c>
      <c r="AQ10" s="55">
        <v>2992397.6</v>
      </c>
      <c r="AR10" s="55">
        <v>2995397</v>
      </c>
      <c r="AS10" s="55">
        <v>3002387.2</v>
      </c>
      <c r="AT10" s="55">
        <v>3009377.4</v>
      </c>
      <c r="AU10" s="55">
        <v>3016367.7</v>
      </c>
      <c r="AV10" s="55">
        <v>3023357.9</v>
      </c>
      <c r="AW10" s="55">
        <v>3030348.1</v>
      </c>
      <c r="AX10" s="55">
        <v>3037338.3</v>
      </c>
      <c r="AY10" s="55">
        <v>3044328.6</v>
      </c>
      <c r="AZ10" s="55">
        <v>3051318.8</v>
      </c>
      <c r="BA10" s="55">
        <v>3058309</v>
      </c>
      <c r="BB10" s="55">
        <v>3065461</v>
      </c>
      <c r="BC10" s="12">
        <v>3072426</v>
      </c>
      <c r="BD10" s="212">
        <v>3044076</v>
      </c>
      <c r="BE10" s="212">
        <v>3049229</v>
      </c>
      <c r="BF10" s="12">
        <v>2966634</v>
      </c>
      <c r="BG10" s="12">
        <v>2967215.3870132156</v>
      </c>
      <c r="BH10" s="12">
        <v>2967796.8879639306</v>
      </c>
      <c r="BI10" s="12">
        <v>2968378.5028744736</v>
      </c>
      <c r="BJ10" s="12">
        <v>2968960.231767178</v>
      </c>
      <c r="BK10" s="12">
        <v>2969542.0746643818</v>
      </c>
      <c r="BL10" s="12">
        <v>2970124.0315884268</v>
      </c>
      <c r="BM10" s="12">
        <v>2970706.1025616596</v>
      </c>
      <c r="BN10" s="12">
        <v>2971288.2876064307</v>
      </c>
      <c r="BO10" s="12">
        <v>2971870.5867450954</v>
      </c>
      <c r="BP10" s="12">
        <v>2972453</v>
      </c>
      <c r="BQ10" s="12">
        <v>2967452.920547985</v>
      </c>
      <c r="BR10" s="12">
        <v>2962461.251925183</v>
      </c>
      <c r="BS10" s="12">
        <v>2957477.9799834089</v>
      </c>
      <c r="BT10" s="12">
        <v>2952503.0905982777</v>
      </c>
      <c r="BU10" s="12">
        <v>2947536.5696691629</v>
      </c>
      <c r="BV10" s="12">
        <v>2942578.4031191566</v>
      </c>
      <c r="BW10" s="12">
        <v>2937628.5768950316</v>
      </c>
      <c r="BX10" s="12">
        <v>2932687.0769671993</v>
      </c>
      <c r="BY10" s="12">
        <v>2927753.8893296714</v>
      </c>
      <c r="BZ10" s="12">
        <v>2922829</v>
      </c>
      <c r="CA10" s="12">
        <v>2926673.9733077753</v>
      </c>
      <c r="CB10" s="12">
        <v>2930524.0046670954</v>
      </c>
      <c r="CC10" s="12">
        <v>2934379.1007318124</v>
      </c>
      <c r="CD10" s="12">
        <v>2938239.2681645318</v>
      </c>
      <c r="CE10" s="12">
        <v>2942104.5136366244</v>
      </c>
      <c r="CF10" s="12">
        <v>2945974.8438282362</v>
      </c>
      <c r="CG10" s="12">
        <v>2949850.2654283019</v>
      </c>
      <c r="CH10" s="12">
        <v>2953730.7851345544</v>
      </c>
      <c r="CI10" s="12">
        <v>2957616.4096535384</v>
      </c>
      <c r="CJ10" s="12">
        <v>2961507.1457006205</v>
      </c>
      <c r="CK10" s="12">
        <v>2965403</v>
      </c>
      <c r="CL10" s="12">
        <v>2945909.869464091</v>
      </c>
      <c r="CM10" s="12">
        <v>2926544.8773761736</v>
      </c>
      <c r="CN10" s="12">
        <v>2907307.1814158303</v>
      </c>
      <c r="CO10" s="12">
        <v>2888195.9447996519</v>
      </c>
      <c r="CP10" s="12">
        <v>2869210.3362448406</v>
      </c>
      <c r="CQ10" s="24">
        <v>2850349.5299330507</v>
      </c>
      <c r="CR10" s="24">
        <v>2831612.7054744689</v>
      </c>
      <c r="CS10" s="24">
        <v>2812999.0478721284</v>
      </c>
      <c r="CT10" s="24">
        <v>2794507.747486461</v>
      </c>
      <c r="CU10" s="24">
        <v>2776138</v>
      </c>
      <c r="CV10" s="25">
        <v>14827</v>
      </c>
      <c r="CW10" s="26">
        <v>13843.9</v>
      </c>
      <c r="CX10" s="27">
        <v>1.58</v>
      </c>
      <c r="CY10" s="28">
        <v>82.9</v>
      </c>
      <c r="CZ10" s="72">
        <v>100</v>
      </c>
      <c r="DA10" s="74">
        <v>96096</v>
      </c>
      <c r="DB10" s="75">
        <v>96096</v>
      </c>
      <c r="DC10" s="75">
        <v>78398</v>
      </c>
      <c r="DD10" s="75">
        <v>75883</v>
      </c>
      <c r="DE10" s="76">
        <v>80229</v>
      </c>
      <c r="DF10" s="75">
        <v>80529</v>
      </c>
    </row>
    <row r="11" spans="1:110">
      <c r="A11" s="3" t="s">
        <v>669</v>
      </c>
      <c r="B11" s="3" t="s">
        <v>663</v>
      </c>
      <c r="C11" s="3">
        <v>3</v>
      </c>
      <c r="D11" s="3" t="s">
        <v>664</v>
      </c>
      <c r="E11" s="12">
        <v>8.4311382162129433</v>
      </c>
      <c r="F11" s="12">
        <v>100769</v>
      </c>
      <c r="G11" s="12">
        <v>147213</v>
      </c>
      <c r="H11" s="12">
        <v>168231</v>
      </c>
      <c r="I11" s="12">
        <v>172323</v>
      </c>
      <c r="J11" s="12">
        <v>207717</v>
      </c>
      <c r="K11" s="12">
        <v>264234</v>
      </c>
      <c r="L11" s="12">
        <v>334568</v>
      </c>
      <c r="M11" s="55">
        <v>172323</v>
      </c>
      <c r="N11" s="55">
        <v>175862.39999999999</v>
      </c>
      <c r="O11" s="55">
        <v>179401.8</v>
      </c>
      <c r="P11" s="55">
        <v>182941.2</v>
      </c>
      <c r="Q11" s="55">
        <v>186480.6</v>
      </c>
      <c r="R11" s="55">
        <v>190020</v>
      </c>
      <c r="S11" s="55">
        <v>193559.4</v>
      </c>
      <c r="T11" s="55">
        <v>197098.8</v>
      </c>
      <c r="U11" s="55">
        <v>200638.2</v>
      </c>
      <c r="V11" s="55">
        <v>204177.6</v>
      </c>
      <c r="W11" s="55">
        <v>207717</v>
      </c>
      <c r="X11" s="55">
        <v>212854.91</v>
      </c>
      <c r="Y11" s="55">
        <v>217992.82</v>
      </c>
      <c r="Z11" s="55">
        <v>223130.73</v>
      </c>
      <c r="AA11" s="55">
        <v>228268.64</v>
      </c>
      <c r="AB11" s="55">
        <v>233406.55</v>
      </c>
      <c r="AC11" s="55">
        <v>238544.45</v>
      </c>
      <c r="AD11" s="55">
        <v>243682.36</v>
      </c>
      <c r="AE11" s="55">
        <v>248820.27</v>
      </c>
      <c r="AF11" s="55">
        <v>253958.18</v>
      </c>
      <c r="AG11" s="55">
        <v>259096.09</v>
      </c>
      <c r="AH11" s="55">
        <v>264234</v>
      </c>
      <c r="AI11" s="55">
        <v>271396.5</v>
      </c>
      <c r="AJ11" s="55">
        <v>278559</v>
      </c>
      <c r="AK11" s="55">
        <v>285721.5</v>
      </c>
      <c r="AL11" s="55">
        <v>292884</v>
      </c>
      <c r="AM11" s="55">
        <v>300046.5</v>
      </c>
      <c r="AN11" s="55">
        <v>307209</v>
      </c>
      <c r="AO11" s="55">
        <v>314371.5</v>
      </c>
      <c r="AP11" s="55">
        <v>321534</v>
      </c>
      <c r="AQ11" s="55">
        <v>328696.5</v>
      </c>
      <c r="AR11" s="55">
        <v>335859</v>
      </c>
      <c r="AS11" s="55">
        <v>343456.89</v>
      </c>
      <c r="AT11" s="55">
        <v>351054.78</v>
      </c>
      <c r="AU11" s="55">
        <v>358652.67</v>
      </c>
      <c r="AV11" s="55">
        <v>366250.56</v>
      </c>
      <c r="AW11" s="55">
        <v>373848.44</v>
      </c>
      <c r="AX11" s="55">
        <v>381446.33</v>
      </c>
      <c r="AY11" s="55">
        <v>389044.22</v>
      </c>
      <c r="AZ11" s="55">
        <v>396642.11</v>
      </c>
      <c r="BA11" s="55">
        <v>404240</v>
      </c>
      <c r="BB11" s="55">
        <v>412236</v>
      </c>
      <c r="BC11" s="12">
        <v>420314</v>
      </c>
      <c r="BD11" s="212">
        <v>389256</v>
      </c>
      <c r="BE11" s="212">
        <v>393088</v>
      </c>
      <c r="BF11" s="12">
        <v>168231</v>
      </c>
      <c r="BG11" s="12">
        <v>168635.78883866643</v>
      </c>
      <c r="BH11" s="12">
        <v>169041.55165955913</v>
      </c>
      <c r="BI11" s="12">
        <v>169448.2908062244</v>
      </c>
      <c r="BJ11" s="12">
        <v>169856.00862784742</v>
      </c>
      <c r="BK11" s="12">
        <v>170264.7074792659</v>
      </c>
      <c r="BL11" s="12">
        <v>170674.3897209836</v>
      </c>
      <c r="BM11" s="12">
        <v>171085.05771918403</v>
      </c>
      <c r="BN11" s="12">
        <v>171496.71384574409</v>
      </c>
      <c r="BO11" s="12">
        <v>171909.36047824778</v>
      </c>
      <c r="BP11" s="12">
        <v>172323</v>
      </c>
      <c r="BQ11" s="12">
        <v>175572.35165453595</v>
      </c>
      <c r="BR11" s="12">
        <v>178882.97363383896</v>
      </c>
      <c r="BS11" s="12">
        <v>182256.02126152316</v>
      </c>
      <c r="BT11" s="12">
        <v>185692.67164618027</v>
      </c>
      <c r="BU11" s="12">
        <v>189194.12409216087</v>
      </c>
      <c r="BV11" s="12">
        <v>192761.60051810136</v>
      </c>
      <c r="BW11" s="12">
        <v>196396.34588334273</v>
      </c>
      <c r="BX11" s="12">
        <v>200099.62862239007</v>
      </c>
      <c r="BY11" s="12">
        <v>203872.74108756415</v>
      </c>
      <c r="BZ11" s="12">
        <v>207717</v>
      </c>
      <c r="CA11" s="12">
        <v>212311.5182035701</v>
      </c>
      <c r="CB11" s="12">
        <v>217007.66312774052</v>
      </c>
      <c r="CC11" s="12">
        <v>221807.68266660644</v>
      </c>
      <c r="CD11" s="12">
        <v>226713.87443571261</v>
      </c>
      <c r="CE11" s="12">
        <v>231728.58687184827</v>
      </c>
      <c r="CF11" s="12">
        <v>236854.22035716861</v>
      </c>
      <c r="CG11" s="12">
        <v>242093.2283681808</v>
      </c>
      <c r="CH11" s="12">
        <v>247448.11865014455</v>
      </c>
      <c r="CI11" s="12">
        <v>252921.45441744942</v>
      </c>
      <c r="CJ11" s="12">
        <v>258515.85558054343</v>
      </c>
      <c r="CK11" s="12">
        <v>264234</v>
      </c>
      <c r="CL11" s="12">
        <v>270470.79278054961</v>
      </c>
      <c r="CM11" s="12">
        <v>276854.79441456817</v>
      </c>
      <c r="CN11" s="12">
        <v>283389.47951590002</v>
      </c>
      <c r="CO11" s="12">
        <v>290078.40471072157</v>
      </c>
      <c r="CP11" s="12">
        <v>296925.21057330241</v>
      </c>
      <c r="CQ11" s="24">
        <v>303933.6236074568</v>
      </c>
      <c r="CR11" s="24">
        <v>311107.45827476407</v>
      </c>
      <c r="CS11" s="24">
        <v>318450.6190706616</v>
      </c>
      <c r="CT11" s="24">
        <v>325967.10264954041</v>
      </c>
      <c r="CU11" s="24">
        <v>333661</v>
      </c>
      <c r="CV11" s="25">
        <v>2.6</v>
      </c>
      <c r="CW11" s="26">
        <v>3.3</v>
      </c>
      <c r="CX11" s="27">
        <v>3.2</v>
      </c>
      <c r="CY11" s="28">
        <v>98.9</v>
      </c>
      <c r="CZ11" s="72">
        <v>69.5</v>
      </c>
      <c r="DA11" s="74">
        <v>6586</v>
      </c>
      <c r="DB11" s="75">
        <v>6586</v>
      </c>
      <c r="DC11" s="75">
        <v>7028</v>
      </c>
      <c r="DD11" s="75">
        <v>8036</v>
      </c>
      <c r="DE11" s="76">
        <v>7180</v>
      </c>
      <c r="DF11" s="75">
        <v>6593</v>
      </c>
    </row>
    <row r="12" spans="1:110">
      <c r="A12" s="3" t="s">
        <v>665</v>
      </c>
      <c r="B12" s="3" t="s">
        <v>640</v>
      </c>
      <c r="C12" s="3">
        <v>4</v>
      </c>
      <c r="D12" s="3" t="s">
        <v>641</v>
      </c>
      <c r="E12" s="12">
        <v>9.4817710517165281</v>
      </c>
      <c r="F12" s="12">
        <v>46274</v>
      </c>
      <c r="G12" s="12">
        <v>430555</v>
      </c>
      <c r="H12" s="12">
        <v>543331</v>
      </c>
      <c r="I12" s="12">
        <v>566613</v>
      </c>
      <c r="J12" s="12">
        <v>701392</v>
      </c>
      <c r="K12" s="12">
        <v>839677</v>
      </c>
      <c r="L12" s="12">
        <v>984446</v>
      </c>
      <c r="M12" s="55">
        <v>566613</v>
      </c>
      <c r="N12" s="55">
        <v>580090.9</v>
      </c>
      <c r="O12" s="55">
        <v>593568.80000000005</v>
      </c>
      <c r="P12" s="55">
        <v>607046.69999999995</v>
      </c>
      <c r="Q12" s="55">
        <v>620524.6</v>
      </c>
      <c r="R12" s="55">
        <v>634002.5</v>
      </c>
      <c r="S12" s="55">
        <v>647480.4</v>
      </c>
      <c r="T12" s="55">
        <v>660958.30000000005</v>
      </c>
      <c r="U12" s="55">
        <v>674436.2</v>
      </c>
      <c r="V12" s="55">
        <v>687914.1</v>
      </c>
      <c r="W12" s="55">
        <v>701392</v>
      </c>
      <c r="X12" s="55">
        <v>713963.36</v>
      </c>
      <c r="Y12" s="55">
        <v>726534.73</v>
      </c>
      <c r="Z12" s="55">
        <v>739106.09</v>
      </c>
      <c r="AA12" s="55">
        <v>751677.45</v>
      </c>
      <c r="AB12" s="55">
        <v>764248.82</v>
      </c>
      <c r="AC12" s="55">
        <v>776820.18</v>
      </c>
      <c r="AD12" s="55">
        <v>789391.55</v>
      </c>
      <c r="AE12" s="55">
        <v>801962.91</v>
      </c>
      <c r="AF12" s="55">
        <v>814534.27</v>
      </c>
      <c r="AG12" s="55">
        <v>827105.64</v>
      </c>
      <c r="AH12" s="55">
        <v>839677</v>
      </c>
      <c r="AI12" s="55">
        <v>854854.7</v>
      </c>
      <c r="AJ12" s="55">
        <v>870032.4</v>
      </c>
      <c r="AK12" s="55">
        <v>885210.1</v>
      </c>
      <c r="AL12" s="55">
        <v>900387.8</v>
      </c>
      <c r="AM12" s="55">
        <v>915565.5</v>
      </c>
      <c r="AN12" s="55">
        <v>930743.2</v>
      </c>
      <c r="AO12" s="55">
        <v>945920.9</v>
      </c>
      <c r="AP12" s="55">
        <v>961098.6</v>
      </c>
      <c r="AQ12" s="55">
        <v>976276.3</v>
      </c>
      <c r="AR12" s="55">
        <v>991454</v>
      </c>
      <c r="AS12" s="55">
        <v>1000308.1</v>
      </c>
      <c r="AT12" s="55">
        <v>1009162.2</v>
      </c>
      <c r="AU12" s="55">
        <v>1018016.3</v>
      </c>
      <c r="AV12" s="55">
        <v>1026870.4</v>
      </c>
      <c r="AW12" s="55">
        <v>1035724.6</v>
      </c>
      <c r="AX12" s="55">
        <v>1044578.7</v>
      </c>
      <c r="AY12" s="55">
        <v>1053432.8</v>
      </c>
      <c r="AZ12" s="55">
        <v>1062286.8999999999</v>
      </c>
      <c r="BA12" s="55">
        <v>1071141</v>
      </c>
      <c r="BB12" s="55">
        <v>1080729</v>
      </c>
      <c r="BC12" s="12">
        <v>1090451</v>
      </c>
      <c r="BD12" s="212">
        <v>1117953</v>
      </c>
      <c r="BE12" s="212">
        <v>1130608</v>
      </c>
      <c r="BF12" s="12">
        <v>543331</v>
      </c>
      <c r="BG12" s="12">
        <v>545615.48770440184</v>
      </c>
      <c r="BH12" s="12">
        <v>547909.5807581608</v>
      </c>
      <c r="BI12" s="12">
        <v>550213.31954789662</v>
      </c>
      <c r="BJ12" s="12">
        <v>552526.74463003862</v>
      </c>
      <c r="BK12" s="12">
        <v>554849.8967315394</v>
      </c>
      <c r="BL12" s="12">
        <v>557182.81675059197</v>
      </c>
      <c r="BM12" s="12">
        <v>559525.5457573497</v>
      </c>
      <c r="BN12" s="12">
        <v>561878.12499464955</v>
      </c>
      <c r="BO12" s="12">
        <v>564240.59587873798</v>
      </c>
      <c r="BP12" s="12">
        <v>566613</v>
      </c>
      <c r="BQ12" s="12">
        <v>578833.90497792978</v>
      </c>
      <c r="BR12" s="12">
        <v>591318.39465737459</v>
      </c>
      <c r="BS12" s="12">
        <v>604072.1541242589</v>
      </c>
      <c r="BT12" s="12">
        <v>617100.99108240474</v>
      </c>
      <c r="BU12" s="12">
        <v>630410.83849819703</v>
      </c>
      <c r="BV12" s="12">
        <v>644007.75730228995</v>
      </c>
      <c r="BW12" s="12">
        <v>657897.93914958416</v>
      </c>
      <c r="BX12" s="12">
        <v>672087.70923873293</v>
      </c>
      <c r="BY12" s="12">
        <v>686583.52919245977</v>
      </c>
      <c r="BZ12" s="12">
        <v>701392</v>
      </c>
      <c r="CA12" s="12">
        <v>712960.52606381732</v>
      </c>
      <c r="CB12" s="12">
        <v>724719.8595438716</v>
      </c>
      <c r="CC12" s="12">
        <v>736673.14755414159</v>
      </c>
      <c r="CD12" s="12">
        <v>748823.58911605622</v>
      </c>
      <c r="CE12" s="12">
        <v>761174.4360146384</v>
      </c>
      <c r="CF12" s="12">
        <v>773728.99366877018</v>
      </c>
      <c r="CG12" s="12">
        <v>786490.62201581197</v>
      </c>
      <c r="CH12" s="12">
        <v>799462.73641081201</v>
      </c>
      <c r="CI12" s="12">
        <v>812648.80854054715</v>
      </c>
      <c r="CJ12" s="12">
        <v>826052.36735264002</v>
      </c>
      <c r="CK12" s="12">
        <v>839677</v>
      </c>
      <c r="CL12" s="12">
        <v>853021.98999292823</v>
      </c>
      <c r="CM12" s="12">
        <v>866579.07196635776</v>
      </c>
      <c r="CN12" s="12">
        <v>880351.61669900152</v>
      </c>
      <c r="CO12" s="12">
        <v>894343.04854137229</v>
      </c>
      <c r="CP12" s="12">
        <v>908556.84626719973</v>
      </c>
      <c r="CQ12" s="24">
        <v>922996.54393837834</v>
      </c>
      <c r="CR12" s="24">
        <v>937665.73178366292</v>
      </c>
      <c r="CS12" s="24">
        <v>952568.05709132855</v>
      </c>
      <c r="CT12" s="24">
        <v>967707.22511601774</v>
      </c>
      <c r="CU12" s="24">
        <v>983087</v>
      </c>
      <c r="CV12" s="25">
        <v>8.4</v>
      </c>
      <c r="CW12" s="26">
        <v>9.9</v>
      </c>
      <c r="CX12" s="27">
        <v>3.37</v>
      </c>
      <c r="CY12" s="28">
        <v>101.7</v>
      </c>
      <c r="CZ12" s="72">
        <v>85.5</v>
      </c>
      <c r="DA12" s="74">
        <v>25179</v>
      </c>
      <c r="DB12" s="75">
        <v>25179</v>
      </c>
      <c r="DC12" s="75">
        <v>22718</v>
      </c>
      <c r="DD12" s="75">
        <v>24662</v>
      </c>
      <c r="DE12" s="76">
        <v>25622</v>
      </c>
      <c r="DF12" s="75">
        <v>20290</v>
      </c>
    </row>
    <row r="13" spans="1:110">
      <c r="A13" s="3" t="s">
        <v>539</v>
      </c>
      <c r="B13" s="3" t="s">
        <v>540</v>
      </c>
      <c r="C13" s="3">
        <v>5</v>
      </c>
      <c r="D13" s="3" t="s">
        <v>541</v>
      </c>
      <c r="E13" s="12">
        <v>11.199629089806711</v>
      </c>
      <c r="F13" s="12">
        <v>23065</v>
      </c>
      <c r="G13" s="12">
        <v>92456</v>
      </c>
      <c r="H13" s="12">
        <v>142412</v>
      </c>
      <c r="I13" s="12">
        <v>189920</v>
      </c>
      <c r="J13" s="12">
        <v>263116</v>
      </c>
      <c r="K13" s="12">
        <v>357189</v>
      </c>
      <c r="L13" s="12">
        <v>413237</v>
      </c>
      <c r="M13" s="55">
        <v>189920</v>
      </c>
      <c r="N13" s="55">
        <v>197239.6</v>
      </c>
      <c r="O13" s="55">
        <v>204559.2</v>
      </c>
      <c r="P13" s="55">
        <v>211878.8</v>
      </c>
      <c r="Q13" s="55">
        <v>219198.4</v>
      </c>
      <c r="R13" s="55">
        <v>226518</v>
      </c>
      <c r="S13" s="55">
        <v>233837.6</v>
      </c>
      <c r="T13" s="55">
        <v>241157.2</v>
      </c>
      <c r="U13" s="55">
        <v>248476.79999999999</v>
      </c>
      <c r="V13" s="55">
        <v>255796.4</v>
      </c>
      <c r="W13" s="55">
        <v>263116</v>
      </c>
      <c r="X13" s="55">
        <v>271668.09000000003</v>
      </c>
      <c r="Y13" s="55">
        <v>280220.18</v>
      </c>
      <c r="Z13" s="55">
        <v>288772.27</v>
      </c>
      <c r="AA13" s="55">
        <v>297324.36</v>
      </c>
      <c r="AB13" s="55">
        <v>305876.45</v>
      </c>
      <c r="AC13" s="55">
        <v>314428.55</v>
      </c>
      <c r="AD13" s="55">
        <v>322980.64</v>
      </c>
      <c r="AE13" s="55">
        <v>331532.73</v>
      </c>
      <c r="AF13" s="55">
        <v>340084.82</v>
      </c>
      <c r="AG13" s="55">
        <v>348636.91</v>
      </c>
      <c r="AH13" s="55">
        <v>357189</v>
      </c>
      <c r="AI13" s="55">
        <v>364007.6</v>
      </c>
      <c r="AJ13" s="55">
        <v>370826.2</v>
      </c>
      <c r="AK13" s="55">
        <v>377644.79999999999</v>
      </c>
      <c r="AL13" s="55">
        <v>384463.4</v>
      </c>
      <c r="AM13" s="55">
        <v>391282</v>
      </c>
      <c r="AN13" s="55">
        <v>398100.6</v>
      </c>
      <c r="AO13" s="55">
        <v>404919.2</v>
      </c>
      <c r="AP13" s="55">
        <v>411737.8</v>
      </c>
      <c r="AQ13" s="55">
        <v>418556.4</v>
      </c>
      <c r="AR13" s="55">
        <v>425375</v>
      </c>
      <c r="AS13" s="55">
        <v>430414.78</v>
      </c>
      <c r="AT13" s="55">
        <v>435454.56</v>
      </c>
      <c r="AU13" s="55">
        <v>440494.33</v>
      </c>
      <c r="AV13" s="55">
        <v>445534.11</v>
      </c>
      <c r="AW13" s="55">
        <v>450573.89</v>
      </c>
      <c r="AX13" s="55">
        <v>455613.67</v>
      </c>
      <c r="AY13" s="55">
        <v>460653.44</v>
      </c>
      <c r="AZ13" s="55">
        <v>465693.22</v>
      </c>
      <c r="BA13" s="55">
        <v>470733</v>
      </c>
      <c r="BB13" s="55">
        <v>475678</v>
      </c>
      <c r="BC13" s="12">
        <v>480592</v>
      </c>
      <c r="BD13" s="212">
        <v>545656</v>
      </c>
      <c r="BE13" s="212">
        <v>556319</v>
      </c>
      <c r="BF13" s="12">
        <v>142412</v>
      </c>
      <c r="BG13" s="12">
        <v>146571.31937458407</v>
      </c>
      <c r="BH13" s="12">
        <v>150852.11683851309</v>
      </c>
      <c r="BI13" s="12">
        <v>155257.94031029529</v>
      </c>
      <c r="BJ13" s="12">
        <v>159792.44132980649</v>
      </c>
      <c r="BK13" s="12">
        <v>164459.37808468076</v>
      </c>
      <c r="BL13" s="12">
        <v>169262.61852509071</v>
      </c>
      <c r="BM13" s="12">
        <v>174206.14356949879</v>
      </c>
      <c r="BN13" s="12">
        <v>179294.05040403656</v>
      </c>
      <c r="BO13" s="12">
        <v>184530.55587824635</v>
      </c>
      <c r="BP13" s="12">
        <v>189920</v>
      </c>
      <c r="BQ13" s="12">
        <v>196213.26172420746</v>
      </c>
      <c r="BR13" s="12">
        <v>202715.05937474905</v>
      </c>
      <c r="BS13" s="12">
        <v>209432.30307780061</v>
      </c>
      <c r="BT13" s="12">
        <v>216372.13193612063</v>
      </c>
      <c r="BU13" s="12">
        <v>223541.92161650583</v>
      </c>
      <c r="BV13" s="12">
        <v>230949.29218866749</v>
      </c>
      <c r="BW13" s="12">
        <v>238602.11622385992</v>
      </c>
      <c r="BX13" s="12">
        <v>246508.52716186811</v>
      </c>
      <c r="BY13" s="12">
        <v>254676.92795524711</v>
      </c>
      <c r="BZ13" s="12">
        <v>263116</v>
      </c>
      <c r="CA13" s="12">
        <v>270530.05097471393</v>
      </c>
      <c r="CB13" s="12">
        <v>278153.01418530731</v>
      </c>
      <c r="CC13" s="12">
        <v>285990.77633561438</v>
      </c>
      <c r="CD13" s="12">
        <v>294049.39000430144</v>
      </c>
      <c r="CE13" s="12">
        <v>302335.07831886777</v>
      </c>
      <c r="CF13" s="12">
        <v>310854.23976135027</v>
      </c>
      <c r="CG13" s="12">
        <v>319613.45310944237</v>
      </c>
      <c r="CH13" s="12">
        <v>328619.48251684348</v>
      </c>
      <c r="CI13" s="12">
        <v>337879.28273676167</v>
      </c>
      <c r="CJ13" s="12">
        <v>347400.00449260371</v>
      </c>
      <c r="CK13" s="12">
        <v>357189</v>
      </c>
      <c r="CL13" s="12">
        <v>362433.64233411109</v>
      </c>
      <c r="CM13" s="12">
        <v>367755.29228383396</v>
      </c>
      <c r="CN13" s="12">
        <v>373155.08055980323</v>
      </c>
      <c r="CO13" s="12">
        <v>378634.1544749926</v>
      </c>
      <c r="CP13" s="12">
        <v>384193.67818848859</v>
      </c>
      <c r="CQ13" s="24">
        <v>389834.83295284363</v>
      </c>
      <c r="CR13" s="24">
        <v>395558.81736506132</v>
      </c>
      <c r="CS13" s="24">
        <v>401366.84762126661</v>
      </c>
      <c r="CT13" s="24">
        <v>407260.15777511575</v>
      </c>
      <c r="CU13" s="24">
        <v>413240</v>
      </c>
      <c r="CV13" s="25">
        <v>1.6</v>
      </c>
      <c r="CW13" s="26">
        <v>1.8</v>
      </c>
      <c r="CX13" s="27">
        <v>2.93</v>
      </c>
      <c r="CY13" s="28">
        <v>103</v>
      </c>
      <c r="CZ13" s="72">
        <v>74</v>
      </c>
      <c r="DA13" s="74">
        <v>8290</v>
      </c>
      <c r="DB13" s="75">
        <v>8290</v>
      </c>
      <c r="DC13" s="75">
        <v>8788</v>
      </c>
      <c r="DD13" s="75">
        <v>8653</v>
      </c>
      <c r="DE13" s="76">
        <v>8469</v>
      </c>
      <c r="DF13" s="75">
        <v>8987</v>
      </c>
    </row>
    <row r="14" spans="1:110">
      <c r="A14" s="3" t="s">
        <v>542</v>
      </c>
      <c r="B14" s="3" t="s">
        <v>543</v>
      </c>
      <c r="C14" s="3">
        <v>6</v>
      </c>
      <c r="D14" s="3" t="s">
        <v>759</v>
      </c>
      <c r="E14" s="12">
        <v>9.3144150721442447</v>
      </c>
      <c r="F14" s="12">
        <v>735472</v>
      </c>
      <c r="G14" s="12">
        <v>1497975</v>
      </c>
      <c r="H14" s="12">
        <v>1753840</v>
      </c>
      <c r="I14" s="12">
        <v>2060065</v>
      </c>
      <c r="J14" s="12">
        <v>2407754</v>
      </c>
      <c r="K14" s="12">
        <v>2766683</v>
      </c>
      <c r="L14" s="12">
        <v>3066801</v>
      </c>
      <c r="M14" s="55">
        <v>2060065</v>
      </c>
      <c r="N14" s="55">
        <v>2094833.9</v>
      </c>
      <c r="O14" s="55">
        <v>2129602.7999999998</v>
      </c>
      <c r="P14" s="55">
        <v>2164371.7000000002</v>
      </c>
      <c r="Q14" s="55">
        <v>2199140.6</v>
      </c>
      <c r="R14" s="55">
        <v>2233909.5</v>
      </c>
      <c r="S14" s="55">
        <v>2268678.4</v>
      </c>
      <c r="T14" s="55">
        <v>2303447.2999999998</v>
      </c>
      <c r="U14" s="55">
        <v>2338216.2000000002</v>
      </c>
      <c r="V14" s="55">
        <v>2372985.1</v>
      </c>
      <c r="W14" s="55">
        <v>2407754</v>
      </c>
      <c r="X14" s="55">
        <v>2440383.9</v>
      </c>
      <c r="Y14" s="55">
        <v>2473013.7999999998</v>
      </c>
      <c r="Z14" s="55">
        <v>2505643.7000000002</v>
      </c>
      <c r="AA14" s="55">
        <v>2538273.6</v>
      </c>
      <c r="AB14" s="55">
        <v>2570903.5</v>
      </c>
      <c r="AC14" s="55">
        <v>2603533.5</v>
      </c>
      <c r="AD14" s="55">
        <v>2636163.4</v>
      </c>
      <c r="AE14" s="55">
        <v>2668793.2999999998</v>
      </c>
      <c r="AF14" s="55">
        <v>2701423.2</v>
      </c>
      <c r="AG14" s="55">
        <v>2734053.1</v>
      </c>
      <c r="AH14" s="55">
        <v>2766683</v>
      </c>
      <c r="AI14" s="55">
        <v>2804449.3</v>
      </c>
      <c r="AJ14" s="55">
        <v>2842215.6</v>
      </c>
      <c r="AK14" s="55">
        <v>2879981.9</v>
      </c>
      <c r="AL14" s="55">
        <v>2917748.2</v>
      </c>
      <c r="AM14" s="55">
        <v>2955514.5</v>
      </c>
      <c r="AN14" s="55">
        <v>2993280.8</v>
      </c>
      <c r="AO14" s="55">
        <v>3031047.1</v>
      </c>
      <c r="AP14" s="55">
        <v>3068813.4</v>
      </c>
      <c r="AQ14" s="55">
        <v>3106579.7</v>
      </c>
      <c r="AR14" s="55">
        <v>3144346</v>
      </c>
      <c r="AS14" s="55">
        <v>3172383.7</v>
      </c>
      <c r="AT14" s="55">
        <v>3200421.3</v>
      </c>
      <c r="AU14" s="55">
        <v>3228459</v>
      </c>
      <c r="AV14" s="55">
        <v>3256496.7</v>
      </c>
      <c r="AW14" s="55">
        <v>3284534.3</v>
      </c>
      <c r="AX14" s="55">
        <v>3312572</v>
      </c>
      <c r="AY14" s="55">
        <v>3340609.7</v>
      </c>
      <c r="AZ14" s="55">
        <v>3368647.3</v>
      </c>
      <c r="BA14" s="55">
        <v>3396685</v>
      </c>
      <c r="BB14" s="55">
        <v>3424376</v>
      </c>
      <c r="BC14" s="12">
        <v>3451910</v>
      </c>
      <c r="BD14" s="212">
        <v>3489669</v>
      </c>
      <c r="BE14" s="212">
        <v>3528687</v>
      </c>
      <c r="BF14" s="12">
        <v>1753840</v>
      </c>
      <c r="BG14" s="12">
        <v>1782292.855256984</v>
      </c>
      <c r="BH14" s="12">
        <v>1811207.3061967413</v>
      </c>
      <c r="BI14" s="12">
        <v>1840590.841367343</v>
      </c>
      <c r="BJ14" s="12">
        <v>1870451.0708048947</v>
      </c>
      <c r="BK14" s="12">
        <v>1900795.7280044581</v>
      </c>
      <c r="BL14" s="12">
        <v>1931632.6719229482</v>
      </c>
      <c r="BM14" s="12">
        <v>1962969.8890145216</v>
      </c>
      <c r="BN14" s="12">
        <v>1994815.495298988</v>
      </c>
      <c r="BO14" s="12">
        <v>2027177.7384637755</v>
      </c>
      <c r="BP14" s="12">
        <v>2060065</v>
      </c>
      <c r="BQ14" s="12">
        <v>2092444.9575659197</v>
      </c>
      <c r="BR14" s="12">
        <v>2125333.8610398429</v>
      </c>
      <c r="BS14" s="12">
        <v>2158739.7099979497</v>
      </c>
      <c r="BT14" s="12">
        <v>2192670.6297531999</v>
      </c>
      <c r="BU14" s="12">
        <v>2227134.8733316534</v>
      </c>
      <c r="BV14" s="12">
        <v>2262140.8234798568</v>
      </c>
      <c r="BW14" s="12">
        <v>2297696.9947037809</v>
      </c>
      <c r="BX14" s="12">
        <v>2333812.0353398044</v>
      </c>
      <c r="BY14" s="12">
        <v>2370494.7296582535</v>
      </c>
      <c r="BZ14" s="12">
        <v>2407754</v>
      </c>
      <c r="CA14" s="12">
        <v>2438362.2728604074</v>
      </c>
      <c r="CB14" s="12">
        <v>2469359.6495775613</v>
      </c>
      <c r="CC14" s="12">
        <v>2500751.0765857813</v>
      </c>
      <c r="CD14" s="12">
        <v>2532541.5632003173</v>
      </c>
      <c r="CE14" s="12">
        <v>2564736.1824167147</v>
      </c>
      <c r="CF14" s="12">
        <v>2597340.071720344</v>
      </c>
      <c r="CG14" s="12">
        <v>2630358.433906218</v>
      </c>
      <c r="CH14" s="12">
        <v>2663796.537909233</v>
      </c>
      <c r="CI14" s="12">
        <v>2697659.7196449647</v>
      </c>
      <c r="CJ14" s="12">
        <v>2731953.38286115</v>
      </c>
      <c r="CK14" s="12">
        <v>2766683</v>
      </c>
      <c r="CL14" s="12">
        <v>2794849.7307327711</v>
      </c>
      <c r="CM14" s="12">
        <v>2823303.2181052337</v>
      </c>
      <c r="CN14" s="12">
        <v>2852046.3814966795</v>
      </c>
      <c r="CO14" s="12">
        <v>2881082.1700076838</v>
      </c>
      <c r="CP14" s="12">
        <v>2910413.5627626884</v>
      </c>
      <c r="CQ14" s="24">
        <v>2940043.5692156651</v>
      </c>
      <c r="CR14" s="24">
        <v>2969975.2294588923</v>
      </c>
      <c r="CS14" s="24">
        <v>3000211.6145348726</v>
      </c>
      <c r="CT14" s="24">
        <v>3030755.8267514277</v>
      </c>
      <c r="CU14" s="24">
        <v>3061611</v>
      </c>
      <c r="CV14" s="25">
        <v>16.7</v>
      </c>
      <c r="CW14" s="26">
        <v>18.5</v>
      </c>
      <c r="CX14" s="27">
        <v>2.46</v>
      </c>
      <c r="CY14" s="28">
        <v>95.2</v>
      </c>
      <c r="CZ14" s="72">
        <v>67.5</v>
      </c>
      <c r="DA14" s="74">
        <v>57646</v>
      </c>
      <c r="DB14" s="75">
        <v>57646</v>
      </c>
      <c r="DC14" s="75">
        <v>56352</v>
      </c>
      <c r="DD14" s="75">
        <v>53673</v>
      </c>
      <c r="DE14" s="76">
        <v>57986</v>
      </c>
      <c r="DF14" s="75">
        <v>54730</v>
      </c>
    </row>
    <row r="15" spans="1:110">
      <c r="A15" s="3" t="s">
        <v>628</v>
      </c>
      <c r="B15" s="3" t="s">
        <v>629</v>
      </c>
      <c r="C15" s="3">
        <v>7</v>
      </c>
      <c r="D15" s="3" t="s">
        <v>641</v>
      </c>
      <c r="E15" s="12">
        <v>8.5635421824434559</v>
      </c>
      <c r="F15" s="12">
        <v>347055</v>
      </c>
      <c r="G15" s="12">
        <v>525463</v>
      </c>
      <c r="H15" s="12">
        <v>533201</v>
      </c>
      <c r="I15" s="12">
        <v>564147</v>
      </c>
      <c r="J15" s="12">
        <v>661454</v>
      </c>
      <c r="K15" s="12">
        <v>795594</v>
      </c>
      <c r="L15" s="12">
        <v>930991</v>
      </c>
      <c r="M15" s="55">
        <v>564147</v>
      </c>
      <c r="N15" s="55">
        <v>573877.69999999995</v>
      </c>
      <c r="O15" s="55">
        <v>583608.4</v>
      </c>
      <c r="P15" s="55">
        <v>593339.1</v>
      </c>
      <c r="Q15" s="55">
        <v>603069.80000000005</v>
      </c>
      <c r="R15" s="55">
        <v>612800.5</v>
      </c>
      <c r="S15" s="55">
        <v>622531.19999999995</v>
      </c>
      <c r="T15" s="55">
        <v>632261.9</v>
      </c>
      <c r="U15" s="55">
        <v>641992.6</v>
      </c>
      <c r="V15" s="55">
        <v>651723.30000000005</v>
      </c>
      <c r="W15" s="55">
        <v>661454</v>
      </c>
      <c r="X15" s="55">
        <v>673648.55</v>
      </c>
      <c r="Y15" s="55">
        <v>685843.09</v>
      </c>
      <c r="Z15" s="55">
        <v>698037.64</v>
      </c>
      <c r="AA15" s="55">
        <v>710232.18</v>
      </c>
      <c r="AB15" s="55">
        <v>722426.73</v>
      </c>
      <c r="AC15" s="55">
        <v>734621.27</v>
      </c>
      <c r="AD15" s="55">
        <v>746815.82</v>
      </c>
      <c r="AE15" s="55">
        <v>759010.36</v>
      </c>
      <c r="AF15" s="55">
        <v>771204.91</v>
      </c>
      <c r="AG15" s="55">
        <v>783399.45</v>
      </c>
      <c r="AH15" s="55">
        <v>795594</v>
      </c>
      <c r="AI15" s="55">
        <v>809952.5</v>
      </c>
      <c r="AJ15" s="55">
        <v>824311</v>
      </c>
      <c r="AK15" s="55">
        <v>838669.5</v>
      </c>
      <c r="AL15" s="55">
        <v>853028</v>
      </c>
      <c r="AM15" s="55">
        <v>867386.5</v>
      </c>
      <c r="AN15" s="55">
        <v>881745</v>
      </c>
      <c r="AO15" s="55">
        <v>896103.5</v>
      </c>
      <c r="AP15" s="55">
        <v>910462</v>
      </c>
      <c r="AQ15" s="55">
        <v>924820.5</v>
      </c>
      <c r="AR15" s="55">
        <v>939179</v>
      </c>
      <c r="AS15" s="55">
        <v>949904.89</v>
      </c>
      <c r="AT15" s="55">
        <v>960630.78</v>
      </c>
      <c r="AU15" s="55">
        <v>971356.67</v>
      </c>
      <c r="AV15" s="55">
        <v>982082.56000000006</v>
      </c>
      <c r="AW15" s="55">
        <v>992808.44</v>
      </c>
      <c r="AX15" s="55">
        <v>1003534.3</v>
      </c>
      <c r="AY15" s="55">
        <v>1014260.2</v>
      </c>
      <c r="AZ15" s="55">
        <v>1024986.1</v>
      </c>
      <c r="BA15" s="55">
        <v>1035712</v>
      </c>
      <c r="BB15" s="55">
        <v>1046891</v>
      </c>
      <c r="BC15" s="12">
        <v>1058161</v>
      </c>
      <c r="BD15" s="212">
        <v>1049325</v>
      </c>
      <c r="BE15" s="212">
        <v>1059836</v>
      </c>
      <c r="BF15" s="12">
        <v>533201</v>
      </c>
      <c r="BG15" s="12">
        <v>536217.62903167552</v>
      </c>
      <c r="BH15" s="12">
        <v>539251.32489314827</v>
      </c>
      <c r="BI15" s="12">
        <v>542302.18414142821</v>
      </c>
      <c r="BJ15" s="12">
        <v>545370.30387980468</v>
      </c>
      <c r="BK15" s="12">
        <v>548455.78176093672</v>
      </c>
      <c r="BL15" s="12">
        <v>551558.71598996164</v>
      </c>
      <c r="BM15" s="12">
        <v>554679.20532762038</v>
      </c>
      <c r="BN15" s="12">
        <v>557817.34909340099</v>
      </c>
      <c r="BO15" s="12">
        <v>560973.24716869986</v>
      </c>
      <c r="BP15" s="12">
        <v>564147</v>
      </c>
      <c r="BQ15" s="12">
        <v>573195.82627035829</v>
      </c>
      <c r="BR15" s="12">
        <v>582389.79424468928</v>
      </c>
      <c r="BS15" s="12">
        <v>591731.23197235586</v>
      </c>
      <c r="BT15" s="12">
        <v>601222.50484425435</v>
      </c>
      <c r="BU15" s="12">
        <v>610866.01619176718</v>
      </c>
      <c r="BV15" s="12">
        <v>620664.20789532166</v>
      </c>
      <c r="BW15" s="12">
        <v>630619.56100271083</v>
      </c>
      <c r="BX15" s="12">
        <v>640734.59635733138</v>
      </c>
      <c r="BY15" s="12">
        <v>651011.87523649877</v>
      </c>
      <c r="BZ15" s="12">
        <v>661454</v>
      </c>
      <c r="CA15" s="12">
        <v>672651.03608542948</v>
      </c>
      <c r="CB15" s="12">
        <v>684037.61462898669</v>
      </c>
      <c r="CC15" s="12">
        <v>695616.94418900425</v>
      </c>
      <c r="CD15" s="12">
        <v>707392.28763801279</v>
      </c>
      <c r="CE15" s="12">
        <v>719366.96308216662</v>
      </c>
      <c r="CF15" s="12">
        <v>731544.34479623416</v>
      </c>
      <c r="CG15" s="12">
        <v>743927.86417441512</v>
      </c>
      <c r="CH15" s="12">
        <v>756521.01069725328</v>
      </c>
      <c r="CI15" s="12">
        <v>769327.33291491726</v>
      </c>
      <c r="CJ15" s="12">
        <v>782350.43944712589</v>
      </c>
      <c r="CK15" s="12">
        <v>795594</v>
      </c>
      <c r="CL15" s="12">
        <v>808043.89233378356</v>
      </c>
      <c r="CM15" s="12">
        <v>820688.60742782278</v>
      </c>
      <c r="CN15" s="12">
        <v>833531.1939757847</v>
      </c>
      <c r="CO15" s="12">
        <v>846574.74837897101</v>
      </c>
      <c r="CP15" s="12">
        <v>859822.41549287352</v>
      </c>
      <c r="CQ15" s="24">
        <v>873277.38938541175</v>
      </c>
      <c r="CR15" s="24">
        <v>886942.91410703608</v>
      </c>
      <c r="CS15" s="24">
        <v>900822.28447288205</v>
      </c>
      <c r="CT15" s="24">
        <v>914918.84685716394</v>
      </c>
      <c r="CU15" s="24">
        <v>929236</v>
      </c>
      <c r="CV15" s="25">
        <v>9</v>
      </c>
      <c r="CW15" s="26">
        <v>10.5</v>
      </c>
      <c r="CX15" s="27">
        <v>3.22</v>
      </c>
      <c r="CY15" s="28">
        <v>97.7</v>
      </c>
      <c r="CZ15" s="72">
        <v>87.9</v>
      </c>
      <c r="DA15" s="74">
        <v>21343</v>
      </c>
      <c r="DB15" s="75">
        <v>21343</v>
      </c>
      <c r="DC15" s="75">
        <v>20152</v>
      </c>
      <c r="DD15" s="75">
        <v>20817</v>
      </c>
      <c r="DE15" s="76">
        <v>22000</v>
      </c>
      <c r="DF15" s="75">
        <v>18515</v>
      </c>
    </row>
    <row r="16" spans="1:110">
      <c r="A16" s="3" t="s">
        <v>630</v>
      </c>
      <c r="B16" s="3" t="s">
        <v>631</v>
      </c>
      <c r="C16" s="3">
        <v>8</v>
      </c>
      <c r="D16" s="3" t="s">
        <v>759</v>
      </c>
      <c r="E16" s="12">
        <v>10.868833751836585</v>
      </c>
      <c r="F16" s="12">
        <v>425373</v>
      </c>
      <c r="G16" s="12">
        <v>787362</v>
      </c>
      <c r="H16" s="12">
        <v>805357</v>
      </c>
      <c r="I16" s="12">
        <v>811691</v>
      </c>
      <c r="J16" s="12">
        <v>908313</v>
      </c>
      <c r="K16" s="12">
        <v>1020257</v>
      </c>
      <c r="L16" s="12">
        <v>1158147</v>
      </c>
      <c r="M16" s="55">
        <v>811691</v>
      </c>
      <c r="N16" s="55">
        <v>821353.2</v>
      </c>
      <c r="O16" s="55">
        <v>831015.4</v>
      </c>
      <c r="P16" s="55">
        <v>840677.6</v>
      </c>
      <c r="Q16" s="55">
        <v>850339.8</v>
      </c>
      <c r="R16" s="55">
        <v>860002</v>
      </c>
      <c r="S16" s="55">
        <v>869664.2</v>
      </c>
      <c r="T16" s="55">
        <v>879326.4</v>
      </c>
      <c r="U16" s="55">
        <v>888988.6</v>
      </c>
      <c r="V16" s="55">
        <v>898650.8</v>
      </c>
      <c r="W16" s="55">
        <v>908313</v>
      </c>
      <c r="X16" s="55">
        <v>918489.73</v>
      </c>
      <c r="Y16" s="55">
        <v>928666.45</v>
      </c>
      <c r="Z16" s="55">
        <v>938843.18</v>
      </c>
      <c r="AA16" s="55">
        <v>949019.91</v>
      </c>
      <c r="AB16" s="55">
        <v>959196.64</v>
      </c>
      <c r="AC16" s="55">
        <v>969373.36</v>
      </c>
      <c r="AD16" s="55">
        <v>979550.09</v>
      </c>
      <c r="AE16" s="55">
        <v>989726.82</v>
      </c>
      <c r="AF16" s="55">
        <v>999903.55</v>
      </c>
      <c r="AG16" s="55">
        <v>1010080.3</v>
      </c>
      <c r="AH16" s="55">
        <v>1020257</v>
      </c>
      <c r="AI16" s="55">
        <v>1035584.6</v>
      </c>
      <c r="AJ16" s="55">
        <v>1050912.2</v>
      </c>
      <c r="AK16" s="55">
        <v>1066239.8</v>
      </c>
      <c r="AL16" s="55">
        <v>1081567.3999999999</v>
      </c>
      <c r="AM16" s="55">
        <v>1096895</v>
      </c>
      <c r="AN16" s="55">
        <v>1112222.6000000001</v>
      </c>
      <c r="AO16" s="55">
        <v>1127550.2</v>
      </c>
      <c r="AP16" s="55">
        <v>1142877.8</v>
      </c>
      <c r="AQ16" s="55">
        <v>1158205.3999999999</v>
      </c>
      <c r="AR16" s="55">
        <v>1173533</v>
      </c>
      <c r="AS16" s="55">
        <v>1185586.3999999999</v>
      </c>
      <c r="AT16" s="55">
        <v>1197639.8999999999</v>
      </c>
      <c r="AU16" s="55">
        <v>1209693.3</v>
      </c>
      <c r="AV16" s="55">
        <v>1221746.8</v>
      </c>
      <c r="AW16" s="55">
        <v>1233800.2</v>
      </c>
      <c r="AX16" s="55">
        <v>1245853.7</v>
      </c>
      <c r="AY16" s="55">
        <v>1257907.1000000001</v>
      </c>
      <c r="AZ16" s="55">
        <v>1269960.6000000001</v>
      </c>
      <c r="BA16" s="55">
        <v>1282014</v>
      </c>
      <c r="BB16" s="55">
        <v>1294901</v>
      </c>
      <c r="BC16" s="12">
        <v>1307740</v>
      </c>
      <c r="BD16" s="212">
        <v>1295121</v>
      </c>
      <c r="BE16" s="212">
        <v>1308290</v>
      </c>
      <c r="BF16" s="12">
        <v>805357</v>
      </c>
      <c r="BG16" s="12">
        <v>805988.16938888747</v>
      </c>
      <c r="BH16" s="12">
        <v>806619.83343393041</v>
      </c>
      <c r="BI16" s="12">
        <v>807251.99252279778</v>
      </c>
      <c r="BJ16" s="12">
        <v>807884.64704346226</v>
      </c>
      <c r="BK16" s="12">
        <v>808517.7973842005</v>
      </c>
      <c r="BL16" s="12">
        <v>809151.44393359357</v>
      </c>
      <c r="BM16" s="12">
        <v>809785.5870805271</v>
      </c>
      <c r="BN16" s="12">
        <v>810420.22721419134</v>
      </c>
      <c r="BO16" s="12">
        <v>811055.36472408171</v>
      </c>
      <c r="BP16" s="12">
        <v>811691</v>
      </c>
      <c r="BQ16" s="12">
        <v>820871.56222654413</v>
      </c>
      <c r="BR16" s="12">
        <v>830155.96042366757</v>
      </c>
      <c r="BS16" s="12">
        <v>839545.36901931046</v>
      </c>
      <c r="BT16" s="12">
        <v>849040.97572468081</v>
      </c>
      <c r="BU16" s="12">
        <v>858643.98168449337</v>
      </c>
      <c r="BV16" s="12">
        <v>868355.60162890831</v>
      </c>
      <c r="BW16" s="12">
        <v>878177.06402718846</v>
      </c>
      <c r="BX16" s="12">
        <v>888109.61124309385</v>
      </c>
      <c r="BY16" s="12">
        <v>898154.49969203456</v>
      </c>
      <c r="BZ16" s="12">
        <v>908313</v>
      </c>
      <c r="CA16" s="12">
        <v>917960.6826579906</v>
      </c>
      <c r="CB16" s="12">
        <v>927710.83856107329</v>
      </c>
      <c r="CC16" s="12">
        <v>937564.55613289669</v>
      </c>
      <c r="CD16" s="12">
        <v>947522.93535784457</v>
      </c>
      <c r="CE16" s="12">
        <v>957587.08790382848</v>
      </c>
      <c r="CF16" s="12">
        <v>967758.13724638498</v>
      </c>
      <c r="CG16" s="12">
        <v>978037.21879409079</v>
      </c>
      <c r="CH16" s="12">
        <v>988425.48001530988</v>
      </c>
      <c r="CI16" s="12">
        <v>998924.08056628716</v>
      </c>
      <c r="CJ16" s="12">
        <v>1009534.1924206024</v>
      </c>
      <c r="CK16" s="12">
        <v>1020257</v>
      </c>
      <c r="CL16" s="12">
        <v>1033152.46280389</v>
      </c>
      <c r="CM16" s="12">
        <v>1046210.9168550114</v>
      </c>
      <c r="CN16" s="12">
        <v>1059434.4222691644</v>
      </c>
      <c r="CO16" s="12">
        <v>1072825.0652008303</v>
      </c>
      <c r="CP16" s="12">
        <v>1086384.9581722857</v>
      </c>
      <c r="CQ16" s="24">
        <v>1100116.240406876</v>
      </c>
      <c r="CR16" s="24">
        <v>1114021.0781665014</v>
      </c>
      <c r="CS16" s="24">
        <v>1128101.6650933693</v>
      </c>
      <c r="CT16" s="24">
        <v>1142360.2225560653</v>
      </c>
      <c r="CU16" s="24">
        <v>1156799</v>
      </c>
      <c r="CV16" s="25">
        <v>13</v>
      </c>
      <c r="CW16" s="26">
        <v>14.7</v>
      </c>
      <c r="CX16" s="27">
        <v>2.86</v>
      </c>
      <c r="CY16" s="28">
        <v>96.3</v>
      </c>
      <c r="CZ16" s="72">
        <v>74.400000000000006</v>
      </c>
      <c r="DA16" s="74">
        <v>24221</v>
      </c>
      <c r="DB16" s="75">
        <v>24221</v>
      </c>
      <c r="DC16" s="75">
        <v>22993</v>
      </c>
      <c r="DD16" s="75">
        <v>23848</v>
      </c>
      <c r="DE16" s="76">
        <v>23440</v>
      </c>
      <c r="DF16" s="75">
        <v>21191</v>
      </c>
    </row>
    <row r="17" spans="1:110">
      <c r="A17" s="3" t="s">
        <v>632</v>
      </c>
      <c r="B17" s="3" t="s">
        <v>633</v>
      </c>
      <c r="C17" s="3">
        <v>9</v>
      </c>
      <c r="D17" s="3" t="s">
        <v>641</v>
      </c>
      <c r="E17" s="12">
        <v>8.8322600411704943</v>
      </c>
      <c r="F17" s="12">
        <v>19281</v>
      </c>
      <c r="G17" s="12">
        <v>113790</v>
      </c>
      <c r="H17" s="12">
        <v>178526</v>
      </c>
      <c r="I17" s="12">
        <v>234075</v>
      </c>
      <c r="J17" s="12">
        <v>295887</v>
      </c>
      <c r="K17" s="12">
        <v>398413</v>
      </c>
      <c r="L17" s="12">
        <v>486559</v>
      </c>
      <c r="M17" s="55">
        <v>234075</v>
      </c>
      <c r="N17" s="55">
        <v>240256.2</v>
      </c>
      <c r="O17" s="55">
        <v>246437.4</v>
      </c>
      <c r="P17" s="55">
        <v>252618.6</v>
      </c>
      <c r="Q17" s="55">
        <v>258799.8</v>
      </c>
      <c r="R17" s="55">
        <v>264981</v>
      </c>
      <c r="S17" s="55">
        <v>271162.2</v>
      </c>
      <c r="T17" s="55">
        <v>277343.40000000002</v>
      </c>
      <c r="U17" s="55">
        <v>283524.59999999998</v>
      </c>
      <c r="V17" s="55">
        <v>289705.8</v>
      </c>
      <c r="W17" s="55">
        <v>295887</v>
      </c>
      <c r="X17" s="55">
        <v>305207.55</v>
      </c>
      <c r="Y17" s="55">
        <v>314528.09000000003</v>
      </c>
      <c r="Z17" s="55">
        <v>323848.64</v>
      </c>
      <c r="AA17" s="55">
        <v>333169.18</v>
      </c>
      <c r="AB17" s="55">
        <v>342489.73</v>
      </c>
      <c r="AC17" s="55">
        <v>351810.27</v>
      </c>
      <c r="AD17" s="55">
        <v>361130.82</v>
      </c>
      <c r="AE17" s="55">
        <v>370451.36</v>
      </c>
      <c r="AF17" s="55">
        <v>379771.91</v>
      </c>
      <c r="AG17" s="55">
        <v>389092.45</v>
      </c>
      <c r="AH17" s="55">
        <v>398413</v>
      </c>
      <c r="AI17" s="55">
        <v>407538</v>
      </c>
      <c r="AJ17" s="55">
        <v>416663</v>
      </c>
      <c r="AK17" s="55">
        <v>425788</v>
      </c>
      <c r="AL17" s="55">
        <v>434913</v>
      </c>
      <c r="AM17" s="55">
        <v>444038</v>
      </c>
      <c r="AN17" s="55">
        <v>453163</v>
      </c>
      <c r="AO17" s="55">
        <v>462288</v>
      </c>
      <c r="AP17" s="55">
        <v>471413</v>
      </c>
      <c r="AQ17" s="55">
        <v>480538</v>
      </c>
      <c r="AR17" s="55">
        <v>489663</v>
      </c>
      <c r="AS17" s="55">
        <v>496999.78</v>
      </c>
      <c r="AT17" s="55">
        <v>504336.56</v>
      </c>
      <c r="AU17" s="55">
        <v>511673.33</v>
      </c>
      <c r="AV17" s="55">
        <v>519010.11</v>
      </c>
      <c r="AW17" s="55">
        <v>526346.89</v>
      </c>
      <c r="AX17" s="55">
        <v>533683.67000000004</v>
      </c>
      <c r="AY17" s="55">
        <v>541020.43999999994</v>
      </c>
      <c r="AZ17" s="55">
        <v>548357.22</v>
      </c>
      <c r="BA17" s="55">
        <v>555694</v>
      </c>
      <c r="BB17" s="55">
        <v>563792</v>
      </c>
      <c r="BC17" s="12">
        <v>572060</v>
      </c>
      <c r="BD17" s="212">
        <v>568331</v>
      </c>
      <c r="BE17" s="212">
        <v>573823</v>
      </c>
      <c r="BF17" s="12">
        <v>178526</v>
      </c>
      <c r="BG17" s="12">
        <v>183428.50658221359</v>
      </c>
      <c r="BH17" s="12">
        <v>188465.64101016757</v>
      </c>
      <c r="BI17" s="12">
        <v>193641.1003022228</v>
      </c>
      <c r="BJ17" s="12">
        <v>198958.68300064615</v>
      </c>
      <c r="BK17" s="12">
        <v>204422.29195956091</v>
      </c>
      <c r="BL17" s="12">
        <v>210035.93720945693</v>
      </c>
      <c r="BM17" s="12">
        <v>215803.73890036339</v>
      </c>
      <c r="BN17" s="12">
        <v>221729.93032584392</v>
      </c>
      <c r="BO17" s="12">
        <v>227818.86103003385</v>
      </c>
      <c r="BP17" s="12">
        <v>234075</v>
      </c>
      <c r="BQ17" s="12">
        <v>239624.9952661155</v>
      </c>
      <c r="BR17" s="12">
        <v>245306.58274606804</v>
      </c>
      <c r="BS17" s="12">
        <v>251122.88253454459</v>
      </c>
      <c r="BT17" s="12">
        <v>257077.08870470372</v>
      </c>
      <c r="BU17" s="12">
        <v>263172.47106222954</v>
      </c>
      <c r="BV17" s="12">
        <v>269412.37694097479</v>
      </c>
      <c r="BW17" s="12">
        <v>275800.23304117913</v>
      </c>
      <c r="BX17" s="12">
        <v>282339.54731127247</v>
      </c>
      <c r="BY17" s="12">
        <v>289033.9108742961</v>
      </c>
      <c r="BZ17" s="12">
        <v>295887</v>
      </c>
      <c r="CA17" s="12">
        <v>303998.91353435576</v>
      </c>
      <c r="CB17" s="12">
        <v>312333.21987809101</v>
      </c>
      <c r="CC17" s="12">
        <v>320896.01605892356</v>
      </c>
      <c r="CD17" s="12">
        <v>329693.5662581186</v>
      </c>
      <c r="CE17" s="12">
        <v>338732.30639310007</v>
      </c>
      <c r="CF17" s="12">
        <v>348018.84882569674</v>
      </c>
      <c r="CG17" s="12">
        <v>357559.98719946813</v>
      </c>
      <c r="CH17" s="12">
        <v>367362.70140964782</v>
      </c>
      <c r="CI17" s="12">
        <v>377434.16270934138</v>
      </c>
      <c r="CJ17" s="12">
        <v>387781.73895571299</v>
      </c>
      <c r="CK17" s="12">
        <v>398413</v>
      </c>
      <c r="CL17" s="12">
        <v>406384.33715858043</v>
      </c>
      <c r="CM17" s="12">
        <v>414515.16262727062</v>
      </c>
      <c r="CN17" s="12">
        <v>422808.66740408703</v>
      </c>
      <c r="CO17" s="12">
        <v>431268.10633165232</v>
      </c>
      <c r="CP17" s="12">
        <v>439896.79937458038</v>
      </c>
      <c r="CQ17" s="24">
        <v>448698.13292241941</v>
      </c>
      <c r="CR17" s="24">
        <v>457675.56111866335</v>
      </c>
      <c r="CS17" s="24">
        <v>466832.60721635428</v>
      </c>
      <c r="CT17" s="24">
        <v>476172.86496080714</v>
      </c>
      <c r="CU17" s="24">
        <v>485700</v>
      </c>
      <c r="CV17" s="25">
        <v>5.5</v>
      </c>
      <c r="CW17" s="26">
        <v>6.7</v>
      </c>
      <c r="CX17" s="27">
        <v>3.54</v>
      </c>
      <c r="CY17" s="28">
        <v>102.3</v>
      </c>
      <c r="CZ17" s="72">
        <v>77.400000000000006</v>
      </c>
      <c r="DA17" s="74">
        <v>11164</v>
      </c>
      <c r="DB17" s="75">
        <v>11164</v>
      </c>
      <c r="DC17" s="75">
        <v>11831</v>
      </c>
      <c r="DD17" s="75">
        <v>12948</v>
      </c>
      <c r="DE17" s="76">
        <v>13486</v>
      </c>
      <c r="DF17" s="75">
        <v>11175</v>
      </c>
    </row>
    <row r="18" spans="1:110">
      <c r="A18" s="3" t="s">
        <v>634</v>
      </c>
      <c r="B18" s="3" t="s">
        <v>715</v>
      </c>
      <c r="C18" s="3">
        <v>10</v>
      </c>
      <c r="D18" s="3" t="s">
        <v>664</v>
      </c>
      <c r="E18" s="12">
        <v>10.226269593158642</v>
      </c>
      <c r="F18" s="12">
        <v>77511</v>
      </c>
      <c r="G18" s="12">
        <v>166700</v>
      </c>
      <c r="H18" s="12">
        <v>241462</v>
      </c>
      <c r="I18" s="12">
        <v>302436</v>
      </c>
      <c r="J18" s="12">
        <v>410008</v>
      </c>
      <c r="K18" s="12">
        <v>512329</v>
      </c>
      <c r="L18" s="12">
        <v>611888</v>
      </c>
      <c r="M18" s="55">
        <v>302436</v>
      </c>
      <c r="N18" s="55">
        <v>313193.2</v>
      </c>
      <c r="O18" s="55">
        <v>323950.40000000002</v>
      </c>
      <c r="P18" s="55">
        <v>334707.59999999998</v>
      </c>
      <c r="Q18" s="55">
        <v>345464.8</v>
      </c>
      <c r="R18" s="55">
        <v>356222</v>
      </c>
      <c r="S18" s="55">
        <v>366979.2</v>
      </c>
      <c r="T18" s="55">
        <v>377736.4</v>
      </c>
      <c r="U18" s="55">
        <v>388493.6</v>
      </c>
      <c r="V18" s="55">
        <v>399250.8</v>
      </c>
      <c r="W18" s="55">
        <v>410008</v>
      </c>
      <c r="X18" s="55">
        <v>419309.91</v>
      </c>
      <c r="Y18" s="55">
        <v>428611.82</v>
      </c>
      <c r="Z18" s="55">
        <v>437913.73</v>
      </c>
      <c r="AA18" s="55">
        <v>447215.64</v>
      </c>
      <c r="AB18" s="55">
        <v>456517.55</v>
      </c>
      <c r="AC18" s="55">
        <v>465819.45</v>
      </c>
      <c r="AD18" s="55">
        <v>475121.36</v>
      </c>
      <c r="AE18" s="55">
        <v>484423.27</v>
      </c>
      <c r="AF18" s="55">
        <v>493725.18</v>
      </c>
      <c r="AG18" s="55">
        <v>503027.09</v>
      </c>
      <c r="AH18" s="55">
        <v>512329</v>
      </c>
      <c r="AI18" s="55">
        <v>522802.4</v>
      </c>
      <c r="AJ18" s="55">
        <v>533275.80000000005</v>
      </c>
      <c r="AK18" s="55">
        <v>543749.19999999995</v>
      </c>
      <c r="AL18" s="55">
        <v>554222.6</v>
      </c>
      <c r="AM18" s="55">
        <v>564696</v>
      </c>
      <c r="AN18" s="55">
        <v>575169.4</v>
      </c>
      <c r="AO18" s="55">
        <v>585642.80000000005</v>
      </c>
      <c r="AP18" s="55">
        <v>596116.19999999995</v>
      </c>
      <c r="AQ18" s="55">
        <v>606589.6</v>
      </c>
      <c r="AR18" s="55">
        <v>617063</v>
      </c>
      <c r="AS18" s="55">
        <v>626108.67000000004</v>
      </c>
      <c r="AT18" s="55">
        <v>635154.32999999996</v>
      </c>
      <c r="AU18" s="55">
        <v>644200</v>
      </c>
      <c r="AV18" s="55">
        <v>653245.67000000004</v>
      </c>
      <c r="AW18" s="55">
        <v>662291.32999999996</v>
      </c>
      <c r="AX18" s="55">
        <v>671337</v>
      </c>
      <c r="AY18" s="55">
        <v>680382.67</v>
      </c>
      <c r="AZ18" s="55">
        <v>689428.33</v>
      </c>
      <c r="BA18" s="55">
        <v>698474</v>
      </c>
      <c r="BB18" s="55">
        <v>707704</v>
      </c>
      <c r="BC18" s="12">
        <v>716978</v>
      </c>
      <c r="BD18" s="212">
        <v>710121</v>
      </c>
      <c r="BE18" s="212">
        <v>718971</v>
      </c>
      <c r="BF18" s="12">
        <v>241462</v>
      </c>
      <c r="BG18" s="12">
        <v>246960.36748263013</v>
      </c>
      <c r="BH18" s="12">
        <v>252583.93911735888</v>
      </c>
      <c r="BI18" s="12">
        <v>258335.56594674615</v>
      </c>
      <c r="BJ18" s="12">
        <v>264218.16393487033</v>
      </c>
      <c r="BK18" s="12">
        <v>270234.71544566593</v>
      </c>
      <c r="BL18" s="12">
        <v>276388.27075492474</v>
      </c>
      <c r="BM18" s="12">
        <v>282681.94959672698</v>
      </c>
      <c r="BN18" s="12">
        <v>289118.94274508627</v>
      </c>
      <c r="BO18" s="12">
        <v>295702.51363161078</v>
      </c>
      <c r="BP18" s="12">
        <v>302436</v>
      </c>
      <c r="BQ18" s="12">
        <v>311780.80209895381</v>
      </c>
      <c r="BR18" s="12">
        <v>321414.34405119432</v>
      </c>
      <c r="BS18" s="12">
        <v>331345.54746918508</v>
      </c>
      <c r="BT18" s="12">
        <v>341583.6096293414</v>
      </c>
      <c r="BU18" s="12">
        <v>352138.0119896176</v>
      </c>
      <c r="BV18" s="12">
        <v>363018.52897027467</v>
      </c>
      <c r="BW18" s="12">
        <v>374235.23700596008</v>
      </c>
      <c r="BX18" s="12">
        <v>385798.52387748257</v>
      </c>
      <c r="BY18" s="12">
        <v>397719.09833192441</v>
      </c>
      <c r="BZ18" s="12">
        <v>410008</v>
      </c>
      <c r="CA18" s="12">
        <v>418396.83057772234</v>
      </c>
      <c r="CB18" s="12">
        <v>426957.29799780319</v>
      </c>
      <c r="CC18" s="12">
        <v>435692.91397804179</v>
      </c>
      <c r="CD18" s="12">
        <v>444607.26208655658</v>
      </c>
      <c r="CE18" s="12">
        <v>453703.99921185442</v>
      </c>
      <c r="CF18" s="12">
        <v>462986.85706297756</v>
      </c>
      <c r="CG18" s="12">
        <v>472459.64370034431</v>
      </c>
      <c r="CH18" s="12">
        <v>482126.24509791029</v>
      </c>
      <c r="CI18" s="12">
        <v>491990.62673729245</v>
      </c>
      <c r="CJ18" s="12">
        <v>502056.8352345085</v>
      </c>
      <c r="CK18" s="12">
        <v>512329</v>
      </c>
      <c r="CL18" s="12">
        <v>521473.87435996626</v>
      </c>
      <c r="CM18" s="12">
        <v>530781.98118785757</v>
      </c>
      <c r="CN18" s="12">
        <v>540256.23412004951</v>
      </c>
      <c r="CO18" s="12">
        <v>549899.59880019911</v>
      </c>
      <c r="CP18" s="12">
        <v>559715.09380755504</v>
      </c>
      <c r="CQ18" s="24">
        <v>569705.79160183726</v>
      </c>
      <c r="CR18" s="24">
        <v>579874.81948498252</v>
      </c>
      <c r="CS18" s="24">
        <v>590225.36058005679</v>
      </c>
      <c r="CT18" s="24">
        <v>600760.65482764074</v>
      </c>
      <c r="CU18" s="24">
        <v>611484</v>
      </c>
      <c r="CV18" s="25">
        <v>9.6</v>
      </c>
      <c r="CW18" s="26">
        <v>11.5</v>
      </c>
      <c r="CX18" s="27">
        <v>3.14</v>
      </c>
      <c r="CY18" s="28">
        <v>97.2</v>
      </c>
      <c r="CZ18" s="72">
        <v>69.400000000000006</v>
      </c>
      <c r="DA18" s="74">
        <v>15538</v>
      </c>
      <c r="DB18" s="75">
        <v>15538</v>
      </c>
      <c r="DC18" s="75">
        <v>12624</v>
      </c>
      <c r="DD18" s="75">
        <v>13695</v>
      </c>
      <c r="DE18" s="76">
        <v>13719</v>
      </c>
      <c r="DF18" s="75">
        <v>12146</v>
      </c>
    </row>
    <row r="19" spans="1:110">
      <c r="A19" s="3" t="s">
        <v>716</v>
      </c>
      <c r="B19" s="3" t="s">
        <v>717</v>
      </c>
      <c r="C19" s="3">
        <v>11</v>
      </c>
      <c r="D19" s="3" t="s">
        <v>541</v>
      </c>
      <c r="E19" s="12">
        <v>11.184023337636141</v>
      </c>
      <c r="F19" s="12">
        <v>101338</v>
      </c>
      <c r="G19" s="12">
        <v>169480</v>
      </c>
      <c r="H19" s="12">
        <v>158746</v>
      </c>
      <c r="I19" s="12">
        <v>172029</v>
      </c>
      <c r="J19" s="12">
        <v>208260</v>
      </c>
      <c r="K19" s="12">
        <v>259996</v>
      </c>
      <c r="L19" s="12">
        <v>299294</v>
      </c>
      <c r="M19" s="55">
        <v>172029</v>
      </c>
      <c r="N19" s="55">
        <v>175652.1</v>
      </c>
      <c r="O19" s="55">
        <v>179275.2</v>
      </c>
      <c r="P19" s="55">
        <v>182898.3</v>
      </c>
      <c r="Q19" s="55">
        <v>186521.4</v>
      </c>
      <c r="R19" s="55">
        <v>190144.5</v>
      </c>
      <c r="S19" s="55">
        <v>193767.6</v>
      </c>
      <c r="T19" s="55">
        <v>197390.7</v>
      </c>
      <c r="U19" s="55">
        <v>201013.8</v>
      </c>
      <c r="V19" s="55">
        <v>204636.9</v>
      </c>
      <c r="W19" s="55">
        <v>208260</v>
      </c>
      <c r="X19" s="55">
        <v>212963.27</v>
      </c>
      <c r="Y19" s="55">
        <v>217666.55</v>
      </c>
      <c r="Z19" s="55">
        <v>222369.82</v>
      </c>
      <c r="AA19" s="55">
        <v>227073.09</v>
      </c>
      <c r="AB19" s="55">
        <v>231776.36</v>
      </c>
      <c r="AC19" s="55">
        <v>236479.64</v>
      </c>
      <c r="AD19" s="55">
        <v>241182.91</v>
      </c>
      <c r="AE19" s="55">
        <v>245886.18</v>
      </c>
      <c r="AF19" s="55">
        <v>250589.45</v>
      </c>
      <c r="AG19" s="55">
        <v>255292.73</v>
      </c>
      <c r="AH19" s="55">
        <v>259996</v>
      </c>
      <c r="AI19" s="55">
        <v>264600.09999999998</v>
      </c>
      <c r="AJ19" s="55">
        <v>269204.2</v>
      </c>
      <c r="AK19" s="55">
        <v>273808.3</v>
      </c>
      <c r="AL19" s="55">
        <v>278412.40000000002</v>
      </c>
      <c r="AM19" s="55">
        <v>283016.5</v>
      </c>
      <c r="AN19" s="55">
        <v>287620.59999999998</v>
      </c>
      <c r="AO19" s="55">
        <v>292224.7</v>
      </c>
      <c r="AP19" s="55">
        <v>296828.79999999999</v>
      </c>
      <c r="AQ19" s="55">
        <v>301432.90000000002</v>
      </c>
      <c r="AR19" s="55">
        <v>306037</v>
      </c>
      <c r="AS19" s="55">
        <v>309972.44</v>
      </c>
      <c r="AT19" s="55">
        <v>313907.89</v>
      </c>
      <c r="AU19" s="55">
        <v>317843.33</v>
      </c>
      <c r="AV19" s="55">
        <v>321778.78000000003</v>
      </c>
      <c r="AW19" s="55">
        <v>325714.21999999997</v>
      </c>
      <c r="AX19" s="55">
        <v>329649.67</v>
      </c>
      <c r="AY19" s="55">
        <v>333585.11</v>
      </c>
      <c r="AZ19" s="55">
        <v>337520.56</v>
      </c>
      <c r="BA19" s="55">
        <v>341456</v>
      </c>
      <c r="BB19" s="55">
        <v>345349</v>
      </c>
      <c r="BC19" s="12">
        <v>349240</v>
      </c>
      <c r="BD19" s="212">
        <v>336706</v>
      </c>
      <c r="BE19" s="212">
        <v>339895</v>
      </c>
      <c r="BF19" s="12">
        <v>158746</v>
      </c>
      <c r="BG19" s="12">
        <v>160026.78432736674</v>
      </c>
      <c r="BH19" s="12">
        <v>161317.90219695331</v>
      </c>
      <c r="BI19" s="12">
        <v>162619.43698118435</v>
      </c>
      <c r="BJ19" s="12">
        <v>163931.47272514456</v>
      </c>
      <c r="BK19" s="12">
        <v>165254.0941520058</v>
      </c>
      <c r="BL19" s="12">
        <v>166587.38666849805</v>
      </c>
      <c r="BM19" s="12">
        <v>167931.43637042437</v>
      </c>
      <c r="BN19" s="12">
        <v>169286.33004822052</v>
      </c>
      <c r="BO19" s="12">
        <v>170652.15519255926</v>
      </c>
      <c r="BP19" s="12">
        <v>172029</v>
      </c>
      <c r="BQ19" s="12">
        <v>175348.51196012041</v>
      </c>
      <c r="BR19" s="12">
        <v>178732.07800213038</v>
      </c>
      <c r="BS19" s="12">
        <v>182180.93412862791</v>
      </c>
      <c r="BT19" s="12">
        <v>185696.34019240719</v>
      </c>
      <c r="BU19" s="12">
        <v>189279.58035667764</v>
      </c>
      <c r="BV19" s="12">
        <v>192931.96356416336</v>
      </c>
      <c r="BW19" s="12">
        <v>196654.82401525447</v>
      </c>
      <c r="BX19" s="12">
        <v>200449.52165538498</v>
      </c>
      <c r="BY19" s="12">
        <v>204317.44267181514</v>
      </c>
      <c r="BZ19" s="12">
        <v>208260</v>
      </c>
      <c r="CA19" s="12">
        <v>212503.42640254638</v>
      </c>
      <c r="CB19" s="12">
        <v>216833.3152445138</v>
      </c>
      <c r="CC19" s="12">
        <v>221251.4282516214</v>
      </c>
      <c r="CD19" s="12">
        <v>225759.56304584027</v>
      </c>
      <c r="CE19" s="12">
        <v>230359.5538768018</v>
      </c>
      <c r="CF19" s="12">
        <v>235053.27236810894</v>
      </c>
      <c r="CG19" s="12">
        <v>239842.62827885395</v>
      </c>
      <c r="CH19" s="12">
        <v>244729.57028065267</v>
      </c>
      <c r="CI19" s="12">
        <v>249716.08675051125</v>
      </c>
      <c r="CJ19" s="12">
        <v>254804.20657984805</v>
      </c>
      <c r="CK19" s="12">
        <v>259996</v>
      </c>
      <c r="CL19" s="12">
        <v>263608.01648142218</v>
      </c>
      <c r="CM19" s="12">
        <v>267270.2132081638</v>
      </c>
      <c r="CN19" s="12">
        <v>270983.28731353889</v>
      </c>
      <c r="CO19" s="12">
        <v>274747.94561584532</v>
      </c>
      <c r="CP19" s="12">
        <v>278564.90475291404</v>
      </c>
      <c r="CQ19" s="24">
        <v>282434.89131852787</v>
      </c>
      <c r="CR19" s="24">
        <v>286358.64200073533</v>
      </c>
      <c r="CS19" s="24">
        <v>290336.90372208616</v>
      </c>
      <c r="CT19" s="24">
        <v>294370.43378181499</v>
      </c>
      <c r="CU19" s="24">
        <v>298460</v>
      </c>
      <c r="CV19" s="25">
        <v>1.8</v>
      </c>
      <c r="CW19" s="26">
        <v>2.1</v>
      </c>
      <c r="CX19" s="27">
        <v>2.85</v>
      </c>
      <c r="CY19" s="28">
        <v>101.4</v>
      </c>
      <c r="CZ19" s="72">
        <v>82</v>
      </c>
      <c r="DA19" s="74">
        <v>5120</v>
      </c>
      <c r="DB19" s="75">
        <v>5120</v>
      </c>
      <c r="DC19" s="75">
        <v>5628</v>
      </c>
      <c r="DD19" s="75">
        <v>5486</v>
      </c>
      <c r="DE19" s="76">
        <v>5477</v>
      </c>
      <c r="DF19" s="75">
        <v>5273</v>
      </c>
    </row>
    <row r="20" spans="1:110">
      <c r="A20" s="3" t="s">
        <v>718</v>
      </c>
      <c r="B20" s="3" t="s">
        <v>719</v>
      </c>
      <c r="C20" s="3">
        <v>12</v>
      </c>
      <c r="D20" s="3" t="s">
        <v>664</v>
      </c>
      <c r="E20" s="12">
        <v>9.4851837824909335</v>
      </c>
      <c r="F20" s="12">
        <v>79754</v>
      </c>
      <c r="G20" s="12">
        <v>110746</v>
      </c>
      <c r="H20" s="12">
        <v>128220</v>
      </c>
      <c r="I20" s="12">
        <v>136237</v>
      </c>
      <c r="J20" s="12">
        <v>164217</v>
      </c>
      <c r="K20" s="12">
        <v>220729</v>
      </c>
      <c r="L20" s="12">
        <v>289983</v>
      </c>
      <c r="M20" s="55">
        <v>136237</v>
      </c>
      <c r="N20" s="55">
        <v>139035</v>
      </c>
      <c r="O20" s="55">
        <v>141833</v>
      </c>
      <c r="P20" s="55">
        <v>144631</v>
      </c>
      <c r="Q20" s="55">
        <v>147429</v>
      </c>
      <c r="R20" s="55">
        <v>150227</v>
      </c>
      <c r="S20" s="55">
        <v>153025</v>
      </c>
      <c r="T20" s="55">
        <v>155823</v>
      </c>
      <c r="U20" s="55">
        <v>158621</v>
      </c>
      <c r="V20" s="55">
        <v>161419</v>
      </c>
      <c r="W20" s="55">
        <v>164217</v>
      </c>
      <c r="X20" s="55">
        <v>169354.45</v>
      </c>
      <c r="Y20" s="55">
        <v>174491.91</v>
      </c>
      <c r="Z20" s="55">
        <v>179629.36</v>
      </c>
      <c r="AA20" s="55">
        <v>184766.82</v>
      </c>
      <c r="AB20" s="55">
        <v>189904.27</v>
      </c>
      <c r="AC20" s="55">
        <v>195041.73</v>
      </c>
      <c r="AD20" s="55">
        <v>200179.18</v>
      </c>
      <c r="AE20" s="55">
        <v>205316.64</v>
      </c>
      <c r="AF20" s="55">
        <v>210454.09</v>
      </c>
      <c r="AG20" s="55">
        <v>215591.55</v>
      </c>
      <c r="AH20" s="55">
        <v>220729</v>
      </c>
      <c r="AI20" s="55">
        <v>228115.8</v>
      </c>
      <c r="AJ20" s="55">
        <v>235502.6</v>
      </c>
      <c r="AK20" s="55">
        <v>242889.4</v>
      </c>
      <c r="AL20" s="55">
        <v>250276.2</v>
      </c>
      <c r="AM20" s="55">
        <v>257663</v>
      </c>
      <c r="AN20" s="55">
        <v>265049.8</v>
      </c>
      <c r="AO20" s="55">
        <v>272436.59999999998</v>
      </c>
      <c r="AP20" s="55">
        <v>279823.40000000002</v>
      </c>
      <c r="AQ20" s="55">
        <v>287210.2</v>
      </c>
      <c r="AR20" s="55">
        <v>294597</v>
      </c>
      <c r="AS20" s="55">
        <v>301347.33</v>
      </c>
      <c r="AT20" s="55">
        <v>308097.67</v>
      </c>
      <c r="AU20" s="55">
        <v>314848</v>
      </c>
      <c r="AV20" s="55">
        <v>321598.33</v>
      </c>
      <c r="AW20" s="55">
        <v>328348.67</v>
      </c>
      <c r="AX20" s="55">
        <v>335099</v>
      </c>
      <c r="AY20" s="55">
        <v>341849.33</v>
      </c>
      <c r="AZ20" s="55">
        <v>348599.67</v>
      </c>
      <c r="BA20" s="55">
        <v>355350</v>
      </c>
      <c r="BB20" s="55">
        <v>362502</v>
      </c>
      <c r="BC20" s="12">
        <v>369727</v>
      </c>
      <c r="BD20" s="212">
        <v>357516</v>
      </c>
      <c r="BE20" s="212">
        <v>362605</v>
      </c>
      <c r="BF20" s="12">
        <v>128220</v>
      </c>
      <c r="BG20" s="12">
        <v>128999.99767235629</v>
      </c>
      <c r="BH20" s="12">
        <v>129784.74028597666</v>
      </c>
      <c r="BI20" s="12">
        <v>130574.25670564931</v>
      </c>
      <c r="BJ20" s="12">
        <v>131368.57597175491</v>
      </c>
      <c r="BK20" s="12">
        <v>132167.72730133476</v>
      </c>
      <c r="BL20" s="12">
        <v>132971.74008916554</v>
      </c>
      <c r="BM20" s="12">
        <v>133780.64390884043</v>
      </c>
      <c r="BN20" s="12">
        <v>134594.46851385696</v>
      </c>
      <c r="BO20" s="12">
        <v>135413.24383871144</v>
      </c>
      <c r="BP20" s="12">
        <v>136237</v>
      </c>
      <c r="BQ20" s="12">
        <v>138805.7240708906</v>
      </c>
      <c r="BR20" s="12">
        <v>141422.88097098598</v>
      </c>
      <c r="BS20" s="12">
        <v>144089.38389254815</v>
      </c>
      <c r="BT20" s="12">
        <v>146806.16324591459</v>
      </c>
      <c r="BU20" s="12">
        <v>149574.16698414192</v>
      </c>
      <c r="BV20" s="12">
        <v>152394.36093377069</v>
      </c>
      <c r="BW20" s="12">
        <v>155267.72913182678</v>
      </c>
      <c r="BX20" s="12">
        <v>158195.27416917673</v>
      </c>
      <c r="BY20" s="12">
        <v>161178.0175403571</v>
      </c>
      <c r="BZ20" s="12">
        <v>164217</v>
      </c>
      <c r="CA20" s="12">
        <v>168692.04152014272</v>
      </c>
      <c r="CB20" s="12">
        <v>173289.03141717092</v>
      </c>
      <c r="CC20" s="12">
        <v>178011.29287960875</v>
      </c>
      <c r="CD20" s="12">
        <v>182862.23965546346</v>
      </c>
      <c r="CE20" s="12">
        <v>187845.37852004197</v>
      </c>
      <c r="CF20" s="12">
        <v>192964.3118110174</v>
      </c>
      <c r="CG20" s="12">
        <v>198222.74003257829</v>
      </c>
      <c r="CH20" s="12">
        <v>203624.46453054284</v>
      </c>
      <c r="CI20" s="12">
        <v>209173.39024037195</v>
      </c>
      <c r="CJ20" s="12">
        <v>214873.52851006802</v>
      </c>
      <c r="CK20" s="12">
        <v>220729</v>
      </c>
      <c r="CL20" s="12">
        <v>226822.58279670725</v>
      </c>
      <c r="CM20" s="12">
        <v>233084.38885044155</v>
      </c>
      <c r="CN20" s="12">
        <v>239519.06223762708</v>
      </c>
      <c r="CO20" s="12">
        <v>246131.37524196567</v>
      </c>
      <c r="CP20" s="12">
        <v>252926.23189380724</v>
      </c>
      <c r="CQ20" s="24">
        <v>259908.67160723</v>
      </c>
      <c r="CR20" s="24">
        <v>267083.87291752838</v>
      </c>
      <c r="CS20" s="24">
        <v>274457.15732188028</v>
      </c>
      <c r="CT20" s="24">
        <v>282033.99322604231</v>
      </c>
      <c r="CU20" s="24">
        <v>289820</v>
      </c>
      <c r="CV20" s="25">
        <v>2.5</v>
      </c>
      <c r="CW20" s="26">
        <v>3.2</v>
      </c>
      <c r="CX20" s="27">
        <v>3.14</v>
      </c>
      <c r="CY20" s="28">
        <v>100.2</v>
      </c>
      <c r="CZ20" s="72">
        <v>74.599999999999994</v>
      </c>
      <c r="DA20" s="74">
        <v>5483</v>
      </c>
      <c r="DB20" s="75">
        <v>5483</v>
      </c>
      <c r="DC20" s="75">
        <v>5943</v>
      </c>
      <c r="DD20" s="75">
        <v>6295</v>
      </c>
      <c r="DE20" s="76">
        <v>6600</v>
      </c>
      <c r="DF20" s="75">
        <v>6216</v>
      </c>
    </row>
    <row r="21" spans="1:110">
      <c r="A21" s="3" t="s">
        <v>711</v>
      </c>
      <c r="B21" s="3" t="s">
        <v>712</v>
      </c>
      <c r="C21" s="3">
        <v>13</v>
      </c>
      <c r="D21" s="3" t="s">
        <v>713</v>
      </c>
      <c r="E21" s="12">
        <v>8.9541553152137059</v>
      </c>
      <c r="F21" s="12">
        <v>277535</v>
      </c>
      <c r="G21" s="12">
        <v>588231</v>
      </c>
      <c r="H21" s="12">
        <v>824036</v>
      </c>
      <c r="I21" s="12">
        <v>973075</v>
      </c>
      <c r="J21" s="12">
        <v>1196228</v>
      </c>
      <c r="K21" s="12">
        <v>1412481</v>
      </c>
      <c r="L21" s="12">
        <v>1579651</v>
      </c>
      <c r="M21" s="55">
        <v>973075</v>
      </c>
      <c r="N21" s="55">
        <v>995390.3</v>
      </c>
      <c r="O21" s="55">
        <v>1017705.6</v>
      </c>
      <c r="P21" s="55">
        <v>1040020.9</v>
      </c>
      <c r="Q21" s="55">
        <v>1062336.2</v>
      </c>
      <c r="R21" s="55">
        <v>1084651.5</v>
      </c>
      <c r="S21" s="55">
        <v>1106966.8</v>
      </c>
      <c r="T21" s="55">
        <v>1129282.1000000001</v>
      </c>
      <c r="U21" s="55">
        <v>1151597.3999999999</v>
      </c>
      <c r="V21" s="55">
        <v>1173912.7</v>
      </c>
      <c r="W21" s="55">
        <v>1196228</v>
      </c>
      <c r="X21" s="55">
        <v>1215887.3999999999</v>
      </c>
      <c r="Y21" s="55">
        <v>1235546.7</v>
      </c>
      <c r="Z21" s="55">
        <v>1255206.1000000001</v>
      </c>
      <c r="AA21" s="55">
        <v>1274865.5</v>
      </c>
      <c r="AB21" s="55">
        <v>1294524.8</v>
      </c>
      <c r="AC21" s="55">
        <v>1314184.2</v>
      </c>
      <c r="AD21" s="55">
        <v>1333843.5</v>
      </c>
      <c r="AE21" s="55">
        <v>1353502.9</v>
      </c>
      <c r="AF21" s="55">
        <v>1373162.3</v>
      </c>
      <c r="AG21" s="55">
        <v>1392821.6</v>
      </c>
      <c r="AH21" s="55">
        <v>1412481</v>
      </c>
      <c r="AI21" s="55">
        <v>1431835.3</v>
      </c>
      <c r="AJ21" s="55">
        <v>1451189.6</v>
      </c>
      <c r="AK21" s="55">
        <v>1470543.9</v>
      </c>
      <c r="AL21" s="55">
        <v>1489898.2</v>
      </c>
      <c r="AM21" s="55">
        <v>1509252.5</v>
      </c>
      <c r="AN21" s="55">
        <v>1528606.8</v>
      </c>
      <c r="AO21" s="55">
        <v>1547961.1</v>
      </c>
      <c r="AP21" s="55">
        <v>1567315.4</v>
      </c>
      <c r="AQ21" s="55">
        <v>1586669.7</v>
      </c>
      <c r="AR21" s="55">
        <v>1606024</v>
      </c>
      <c r="AS21" s="55">
        <v>1623764.1</v>
      </c>
      <c r="AT21" s="55">
        <v>1641504.2</v>
      </c>
      <c r="AU21" s="55">
        <v>1659244.3</v>
      </c>
      <c r="AV21" s="55">
        <v>1676984.4</v>
      </c>
      <c r="AW21" s="55">
        <v>1694724.6</v>
      </c>
      <c r="AX21" s="55">
        <v>1712464.7</v>
      </c>
      <c r="AY21" s="55">
        <v>1730204.8</v>
      </c>
      <c r="AZ21" s="55">
        <v>1747944.9</v>
      </c>
      <c r="BA21" s="55">
        <v>1765685</v>
      </c>
      <c r="BB21" s="55">
        <v>1783341</v>
      </c>
      <c r="BC21" s="12">
        <v>1800895</v>
      </c>
      <c r="BD21" s="212">
        <v>1841813</v>
      </c>
      <c r="BE21" s="212">
        <v>1863809</v>
      </c>
      <c r="BF21" s="12">
        <v>824036</v>
      </c>
      <c r="BG21" s="12">
        <v>837849.85391414957</v>
      </c>
      <c r="BH21" s="12">
        <v>851895.27848778665</v>
      </c>
      <c r="BI21" s="12">
        <v>866176.15569119051</v>
      </c>
      <c r="BJ21" s="12">
        <v>880696.43257064454</v>
      </c>
      <c r="BK21" s="12">
        <v>895460.12233934831</v>
      </c>
      <c r="BL21" s="12">
        <v>910471.30548661645</v>
      </c>
      <c r="BM21" s="12">
        <v>925734.13090567244</v>
      </c>
      <c r="BN21" s="12">
        <v>941252.81704034761</v>
      </c>
      <c r="BO21" s="12">
        <v>957031.65305100393</v>
      </c>
      <c r="BP21" s="12">
        <v>973075</v>
      </c>
      <c r="BQ21" s="12">
        <v>993374.66551662213</v>
      </c>
      <c r="BR21" s="12">
        <v>1014097.8096141211</v>
      </c>
      <c r="BS21" s="12">
        <v>1035253.2666305954</v>
      </c>
      <c r="BT21" s="12">
        <v>1056850.0552004296</v>
      </c>
      <c r="BU21" s="12">
        <v>1078897.3820989651</v>
      </c>
      <c r="BV21" s="12">
        <v>1101404.6461673754</v>
      </c>
      <c r="BW21" s="12">
        <v>1124381.4423194204</v>
      </c>
      <c r="BX21" s="12">
        <v>1147837.5656317873</v>
      </c>
      <c r="BY21" s="12">
        <v>1171783.0155197601</v>
      </c>
      <c r="BZ21" s="12">
        <v>1196228</v>
      </c>
      <c r="CA21" s="12">
        <v>1214436.3283790005</v>
      </c>
      <c r="CB21" s="12">
        <v>1232921.8139741486</v>
      </c>
      <c r="CC21" s="12">
        <v>1251688.6755210061</v>
      </c>
      <c r="CD21" s="12">
        <v>1270741.1959704212</v>
      </c>
      <c r="CE21" s="12">
        <v>1290083.7234659768</v>
      </c>
      <c r="CF21" s="12">
        <v>1309720.6723363195</v>
      </c>
      <c r="CG21" s="12">
        <v>1329656.5241025924</v>
      </c>
      <c r="CH21" s="12">
        <v>1349895.8285012024</v>
      </c>
      <c r="CI21" s="12">
        <v>1370443.2045221557</v>
      </c>
      <c r="CJ21" s="12">
        <v>1391303.3414631982</v>
      </c>
      <c r="CK21" s="12">
        <v>1412481</v>
      </c>
      <c r="CL21" s="12">
        <v>1428091.690520294</v>
      </c>
      <c r="CM21" s="12">
        <v>1443874.9098452376</v>
      </c>
      <c r="CN21" s="12">
        <v>1459832.5647571348</v>
      </c>
      <c r="CO21" s="12">
        <v>1475966.5831119802</v>
      </c>
      <c r="CP21" s="12">
        <v>1492278.9140723662</v>
      </c>
      <c r="CQ21" s="24">
        <v>1508771.5283429609</v>
      </c>
      <c r="CR21" s="24">
        <v>1525446.418408592</v>
      </c>
      <c r="CS21" s="24">
        <v>1542305.5987749596</v>
      </c>
      <c r="CT21" s="24">
        <v>1559351.1062120101</v>
      </c>
      <c r="CU21" s="24">
        <v>1576585</v>
      </c>
      <c r="CV21" s="25">
        <v>9.5</v>
      </c>
      <c r="CW21" s="26">
        <v>10.6</v>
      </c>
      <c r="CX21" s="27">
        <v>2.78</v>
      </c>
      <c r="CY21" s="28">
        <v>95.7</v>
      </c>
      <c r="CZ21" s="72">
        <v>75.099999999999994</v>
      </c>
      <c r="DA21" s="74">
        <v>31881</v>
      </c>
      <c r="DB21" s="75">
        <v>31881</v>
      </c>
      <c r="DC21" s="75">
        <v>31460</v>
      </c>
      <c r="DD21" s="75">
        <v>31088</v>
      </c>
      <c r="DE21" s="76">
        <v>30611</v>
      </c>
      <c r="DF21" s="75">
        <v>32321</v>
      </c>
    </row>
    <row r="22" spans="1:110">
      <c r="A22" s="3" t="s">
        <v>714</v>
      </c>
      <c r="B22" s="3" t="s">
        <v>530</v>
      </c>
      <c r="C22" s="3">
        <v>14</v>
      </c>
      <c r="D22" s="3" t="s">
        <v>641</v>
      </c>
      <c r="E22" s="12">
        <v>8.1645055512190332</v>
      </c>
      <c r="F22" s="12">
        <v>53563</v>
      </c>
      <c r="G22" s="12">
        <v>246396</v>
      </c>
      <c r="H22" s="12">
        <v>361440</v>
      </c>
      <c r="I22" s="12">
        <v>443020</v>
      </c>
      <c r="J22" s="12">
        <v>588977</v>
      </c>
      <c r="K22" s="12">
        <v>788915</v>
      </c>
      <c r="L22" s="12">
        <v>965522</v>
      </c>
      <c r="M22" s="55">
        <v>443020</v>
      </c>
      <c r="N22" s="55">
        <v>457615.7</v>
      </c>
      <c r="O22" s="55">
        <v>472211.4</v>
      </c>
      <c r="P22" s="55">
        <v>486807.1</v>
      </c>
      <c r="Q22" s="55">
        <v>501402.8</v>
      </c>
      <c r="R22" s="55">
        <v>515998.5</v>
      </c>
      <c r="S22" s="55">
        <v>530594.19999999995</v>
      </c>
      <c r="T22" s="55">
        <v>545189.9</v>
      </c>
      <c r="U22" s="55">
        <v>559785.6</v>
      </c>
      <c r="V22" s="55">
        <v>574381.30000000005</v>
      </c>
      <c r="W22" s="55">
        <v>588977</v>
      </c>
      <c r="X22" s="55">
        <v>607153.18000000005</v>
      </c>
      <c r="Y22" s="55">
        <v>625329.36</v>
      </c>
      <c r="Z22" s="55">
        <v>643505.55000000005</v>
      </c>
      <c r="AA22" s="55">
        <v>661681.73</v>
      </c>
      <c r="AB22" s="55">
        <v>679857.91</v>
      </c>
      <c r="AC22" s="55">
        <v>698034.09</v>
      </c>
      <c r="AD22" s="55">
        <v>716210.27</v>
      </c>
      <c r="AE22" s="55">
        <v>734386.45</v>
      </c>
      <c r="AF22" s="55">
        <v>752562.64</v>
      </c>
      <c r="AG22" s="55">
        <v>770738.82</v>
      </c>
      <c r="AH22" s="55">
        <v>788915</v>
      </c>
      <c r="AI22" s="55">
        <v>806847.3</v>
      </c>
      <c r="AJ22" s="55">
        <v>824779.6</v>
      </c>
      <c r="AK22" s="55">
        <v>842711.9</v>
      </c>
      <c r="AL22" s="55">
        <v>860644.2</v>
      </c>
      <c r="AM22" s="55">
        <v>878576.5</v>
      </c>
      <c r="AN22" s="55">
        <v>896508.8</v>
      </c>
      <c r="AO22" s="55">
        <v>914441.1</v>
      </c>
      <c r="AP22" s="55">
        <v>932373.4</v>
      </c>
      <c r="AQ22" s="55">
        <v>950305.7</v>
      </c>
      <c r="AR22" s="55">
        <v>968238</v>
      </c>
      <c r="AS22" s="55">
        <v>984149.67</v>
      </c>
      <c r="AT22" s="55">
        <v>1000061.3</v>
      </c>
      <c r="AU22" s="55">
        <v>1015973</v>
      </c>
      <c r="AV22" s="55">
        <v>1031884.7</v>
      </c>
      <c r="AW22" s="55">
        <v>1047796.3</v>
      </c>
      <c r="AX22" s="55">
        <v>1063708</v>
      </c>
      <c r="AY22" s="55">
        <v>1079619.7</v>
      </c>
      <c r="AZ22" s="55">
        <v>1095531.3</v>
      </c>
      <c r="BA22" s="55">
        <v>1111443</v>
      </c>
      <c r="BB22" s="55">
        <v>1128414</v>
      </c>
      <c r="BC22" s="12">
        <v>1145600</v>
      </c>
      <c r="BD22" s="212">
        <v>1159445</v>
      </c>
      <c r="BE22" s="212">
        <v>1174542</v>
      </c>
      <c r="BF22" s="12">
        <v>361440</v>
      </c>
      <c r="BG22" s="12">
        <v>368871.35028024309</v>
      </c>
      <c r="BH22" s="12">
        <v>376455.49208048306</v>
      </c>
      <c r="BI22" s="12">
        <v>384195.56685519352</v>
      </c>
      <c r="BJ22" s="12">
        <v>392094.78064840264</v>
      </c>
      <c r="BK22" s="12">
        <v>400156.40542167996</v>
      </c>
      <c r="BL22" s="12">
        <v>408383.78040942748</v>
      </c>
      <c r="BM22" s="12">
        <v>416780.31350203574</v>
      </c>
      <c r="BN22" s="12">
        <v>425349.48265747831</v>
      </c>
      <c r="BO22" s="12">
        <v>434094.83734192915</v>
      </c>
      <c r="BP22" s="12">
        <v>443020</v>
      </c>
      <c r="BQ22" s="12">
        <v>455817.33017880248</v>
      </c>
      <c r="BR22" s="12">
        <v>468984.331387593</v>
      </c>
      <c r="BS22" s="12">
        <v>482531.68215607287</v>
      </c>
      <c r="BT22" s="12">
        <v>496470.36948008591</v>
      </c>
      <c r="BU22" s="12">
        <v>510811.6977321484</v>
      </c>
      <c r="BV22" s="12">
        <v>525567.29782937421</v>
      </c>
      <c r="BW22" s="12">
        <v>540749.13666622923</v>
      </c>
      <c r="BX22" s="12">
        <v>556369.52681976662</v>
      </c>
      <c r="BY22" s="12">
        <v>572441.13653521216</v>
      </c>
      <c r="BZ22" s="12">
        <v>588977</v>
      </c>
      <c r="CA22" s="12">
        <v>604835.95075158169</v>
      </c>
      <c r="CB22" s="12">
        <v>621121.9238129328</v>
      </c>
      <c r="CC22" s="12">
        <v>637846.41729990591</v>
      </c>
      <c r="CD22" s="12">
        <v>655021.23892966739</v>
      </c>
      <c r="CE22" s="12">
        <v>672658.51435710443</v>
      </c>
      <c r="CF22" s="12">
        <v>690770.69573570054</v>
      </c>
      <c r="CG22" s="12">
        <v>709370.57050892303</v>
      </c>
      <c r="CH22" s="12">
        <v>728471.27043833013</v>
      </c>
      <c r="CI22" s="12">
        <v>748086.28087477095</v>
      </c>
      <c r="CJ22" s="12">
        <v>768229.45027922455</v>
      </c>
      <c r="CK22" s="12">
        <v>788915</v>
      </c>
      <c r="CL22" s="12">
        <v>804876.0292997295</v>
      </c>
      <c r="CM22" s="12">
        <v>821159.97609539563</v>
      </c>
      <c r="CN22" s="12">
        <v>837773.37353139801</v>
      </c>
      <c r="CO22" s="12">
        <v>854722.88692823786</v>
      </c>
      <c r="CP22" s="12">
        <v>872015.31645665469</v>
      </c>
      <c r="CQ22" s="24">
        <v>889657.59986586554</v>
      </c>
      <c r="CR22" s="24">
        <v>907656.81526700011</v>
      </c>
      <c r="CS22" s="24">
        <v>926020.18397285021</v>
      </c>
      <c r="CT22" s="24">
        <v>944755.07339507132</v>
      </c>
      <c r="CU22" s="24">
        <v>963869</v>
      </c>
      <c r="CV22" s="25">
        <v>26.5</v>
      </c>
      <c r="CW22" s="26">
        <v>32.299999999999997</v>
      </c>
      <c r="CX22" s="27">
        <v>3.58</v>
      </c>
      <c r="CY22" s="28">
        <v>101.8</v>
      </c>
      <c r="CZ22" s="72">
        <v>77.8</v>
      </c>
      <c r="DA22" s="74">
        <v>22507</v>
      </c>
      <c r="DB22" s="75">
        <v>22507</v>
      </c>
      <c r="DC22" s="75">
        <v>24391</v>
      </c>
      <c r="DD22" s="75">
        <v>25687</v>
      </c>
      <c r="DE22" s="76">
        <v>26853</v>
      </c>
      <c r="DF22" s="75">
        <v>20935</v>
      </c>
    </row>
    <row r="23" spans="1:110">
      <c r="A23" s="3" t="s">
        <v>620</v>
      </c>
      <c r="B23" s="3" t="s">
        <v>621</v>
      </c>
      <c r="C23" s="3">
        <v>15</v>
      </c>
      <c r="D23" s="3" t="s">
        <v>541</v>
      </c>
      <c r="E23" s="12">
        <v>11.129937820192374</v>
      </c>
      <c r="F23" s="12">
        <v>28866</v>
      </c>
      <c r="G23" s="12">
        <v>86936</v>
      </c>
      <c r="H23" s="12">
        <v>109890</v>
      </c>
      <c r="I23" s="12">
        <v>154470</v>
      </c>
      <c r="J23" s="12">
        <v>243850</v>
      </c>
      <c r="K23" s="12">
        <v>388833</v>
      </c>
      <c r="L23" s="12">
        <v>474155</v>
      </c>
      <c r="M23" s="55">
        <v>154570</v>
      </c>
      <c r="N23" s="55">
        <v>163498</v>
      </c>
      <c r="O23" s="55">
        <v>172426</v>
      </c>
      <c r="P23" s="55">
        <v>181354</v>
      </c>
      <c r="Q23" s="55">
        <v>190282</v>
      </c>
      <c r="R23" s="55">
        <v>199210</v>
      </c>
      <c r="S23" s="55">
        <v>208138</v>
      </c>
      <c r="T23" s="55">
        <v>217066</v>
      </c>
      <c r="U23" s="55">
        <v>225994</v>
      </c>
      <c r="V23" s="55">
        <v>234922</v>
      </c>
      <c r="W23" s="55">
        <v>243850</v>
      </c>
      <c r="X23" s="55">
        <v>257030.27</v>
      </c>
      <c r="Y23" s="55">
        <v>270210.55</v>
      </c>
      <c r="Z23" s="55">
        <v>283390.82</v>
      </c>
      <c r="AA23" s="55">
        <v>296571.09000000003</v>
      </c>
      <c r="AB23" s="55">
        <v>309751.36</v>
      </c>
      <c r="AC23" s="55">
        <v>322931.64</v>
      </c>
      <c r="AD23" s="55">
        <v>336111.91</v>
      </c>
      <c r="AE23" s="55">
        <v>349292.18</v>
      </c>
      <c r="AF23" s="55">
        <v>362472.45</v>
      </c>
      <c r="AG23" s="55">
        <v>375652.73</v>
      </c>
      <c r="AH23" s="55">
        <v>388833</v>
      </c>
      <c r="AI23" s="55">
        <v>398627.6</v>
      </c>
      <c r="AJ23" s="55">
        <v>408422.2</v>
      </c>
      <c r="AK23" s="55">
        <v>418216.8</v>
      </c>
      <c r="AL23" s="55">
        <v>428011.4</v>
      </c>
      <c r="AM23" s="55">
        <v>437806</v>
      </c>
      <c r="AN23" s="55">
        <v>447600.6</v>
      </c>
      <c r="AO23" s="55">
        <v>457395.20000000001</v>
      </c>
      <c r="AP23" s="55">
        <v>467189.8</v>
      </c>
      <c r="AQ23" s="55">
        <v>476984.4</v>
      </c>
      <c r="AR23" s="55">
        <v>486779</v>
      </c>
      <c r="AS23" s="55">
        <v>495497.11</v>
      </c>
      <c r="AT23" s="55">
        <v>504215.22</v>
      </c>
      <c r="AU23" s="55">
        <v>512933.33</v>
      </c>
      <c r="AV23" s="55">
        <v>521651.44</v>
      </c>
      <c r="AW23" s="55">
        <v>530369.56000000006</v>
      </c>
      <c r="AX23" s="55">
        <v>539087.67000000004</v>
      </c>
      <c r="AY23" s="55">
        <v>547805.78</v>
      </c>
      <c r="AZ23" s="55">
        <v>556523.89</v>
      </c>
      <c r="BA23" s="55">
        <v>565242</v>
      </c>
      <c r="BB23" s="55">
        <v>573916</v>
      </c>
      <c r="BC23" s="12">
        <v>582560</v>
      </c>
      <c r="BD23" s="212">
        <v>601003</v>
      </c>
      <c r="BE23" s="212">
        <v>610449</v>
      </c>
      <c r="BF23" s="12">
        <v>109890</v>
      </c>
      <c r="BG23" s="12">
        <v>113696.41491690779</v>
      </c>
      <c r="BH23" s="12">
        <v>117634.67799579262</v>
      </c>
      <c r="BI23" s="12">
        <v>121709.35624739721</v>
      </c>
      <c r="BJ23" s="12">
        <v>125925.1748764566</v>
      </c>
      <c r="BK23" s="12">
        <v>130287.02276128657</v>
      </c>
      <c r="BL23" s="12">
        <v>134799.95812317633</v>
      </c>
      <c r="BM23" s="12">
        <v>139469.21439215989</v>
      </c>
      <c r="BN23" s="12">
        <v>144300.20627596849</v>
      </c>
      <c r="BO23" s="12">
        <v>149298.53603920189</v>
      </c>
      <c r="BP23" s="12">
        <v>154470</v>
      </c>
      <c r="BQ23" s="12">
        <v>161685.84767907701</v>
      </c>
      <c r="BR23" s="12">
        <v>169238.77348159312</v>
      </c>
      <c r="BS23" s="12">
        <v>177144.52353556472</v>
      </c>
      <c r="BT23" s="12">
        <v>185419.57952711845</v>
      </c>
      <c r="BU23" s="12">
        <v>194081.1930610486</v>
      </c>
      <c r="BV23" s="12">
        <v>203147.42162647919</v>
      </c>
      <c r="BW23" s="12">
        <v>212637.16624261116</v>
      </c>
      <c r="BX23" s="12">
        <v>222570.2108630375</v>
      </c>
      <c r="BY23" s="12">
        <v>232967.26362077511</v>
      </c>
      <c r="BZ23" s="12">
        <v>243850</v>
      </c>
      <c r="CA23" s="12">
        <v>254416.11145314819</v>
      </c>
      <c r="CB23" s="12">
        <v>265440.05645659514</v>
      </c>
      <c r="CC23" s="12">
        <v>276941.67310884176</v>
      </c>
      <c r="CD23" s="12">
        <v>288941.65910059633</v>
      </c>
      <c r="CE23" s="12">
        <v>301461.6089612256</v>
      </c>
      <c r="CF23" s="12">
        <v>314524.05291910825</v>
      </c>
      <c r="CG23" s="12">
        <v>328152.49744582211</v>
      </c>
      <c r="CH23" s="12">
        <v>342371.46755712613</v>
      </c>
      <c r="CI23" s="12">
        <v>357206.55094685958</v>
      </c>
      <c r="CJ23" s="12">
        <v>372684.44403317978</v>
      </c>
      <c r="CK23" s="12">
        <v>388833</v>
      </c>
      <c r="CL23" s="12">
        <v>396553.54014607792</v>
      </c>
      <c r="CM23" s="12">
        <v>404427.37679771788</v>
      </c>
      <c r="CN23" s="12">
        <v>412457.55375990923</v>
      </c>
      <c r="CO23" s="12">
        <v>420647.17527443205</v>
      </c>
      <c r="CP23" s="12">
        <v>428999.40721987013</v>
      </c>
      <c r="CQ23" s="24">
        <v>437517.47833545093</v>
      </c>
      <c r="CR23" s="24">
        <v>446204.68146918603</v>
      </c>
      <c r="CS23" s="24">
        <v>455064.37485079397</v>
      </c>
      <c r="CT23" s="24">
        <v>464099.98338989791</v>
      </c>
      <c r="CU23" s="24">
        <v>473315</v>
      </c>
      <c r="CV23" s="25">
        <v>4.0999999999999996</v>
      </c>
      <c r="CW23" s="26">
        <v>5</v>
      </c>
      <c r="CX23" s="27">
        <v>3.06</v>
      </c>
      <c r="CY23" s="28">
        <v>102.3</v>
      </c>
      <c r="CZ23" s="72">
        <v>63.4</v>
      </c>
      <c r="DA23" s="74">
        <v>8395</v>
      </c>
      <c r="DB23" s="75">
        <v>8395</v>
      </c>
      <c r="DC23" s="75">
        <v>11146</v>
      </c>
      <c r="DD23" s="75">
        <v>10060</v>
      </c>
      <c r="DE23" s="76">
        <v>10113</v>
      </c>
      <c r="DF23" s="75">
        <v>10751</v>
      </c>
    </row>
    <row r="24" spans="1:110">
      <c r="A24" s="3" t="s">
        <v>622</v>
      </c>
      <c r="B24" s="3" t="s">
        <v>925</v>
      </c>
      <c r="C24" s="3">
        <v>16</v>
      </c>
      <c r="D24" s="3" t="s">
        <v>541</v>
      </c>
      <c r="E24" s="12">
        <v>11.182653678867045</v>
      </c>
      <c r="F24" s="12">
        <v>42242</v>
      </c>
      <c r="G24" s="12">
        <v>134350</v>
      </c>
      <c r="H24" s="12">
        <v>193292</v>
      </c>
      <c r="I24" s="12">
        <v>262622</v>
      </c>
      <c r="J24" s="12">
        <v>383354</v>
      </c>
      <c r="K24" s="12">
        <v>506772</v>
      </c>
      <c r="L24" s="12">
        <v>552822</v>
      </c>
      <c r="M24" s="55">
        <v>262622</v>
      </c>
      <c r="N24" s="55">
        <v>274695.2</v>
      </c>
      <c r="O24" s="55">
        <v>286768.40000000002</v>
      </c>
      <c r="P24" s="55">
        <v>298841.59999999998</v>
      </c>
      <c r="Q24" s="55">
        <v>310914.8</v>
      </c>
      <c r="R24" s="55">
        <v>322988</v>
      </c>
      <c r="S24" s="55">
        <v>335061.2</v>
      </c>
      <c r="T24" s="55">
        <v>347134.4</v>
      </c>
      <c r="U24" s="55">
        <v>359207.6</v>
      </c>
      <c r="V24" s="55">
        <v>371280.8</v>
      </c>
      <c r="W24" s="55">
        <v>383354</v>
      </c>
      <c r="X24" s="55">
        <v>394573.82</v>
      </c>
      <c r="Y24" s="55">
        <v>405793.64</v>
      </c>
      <c r="Z24" s="55">
        <v>417013.45</v>
      </c>
      <c r="AA24" s="55">
        <v>428233.27</v>
      </c>
      <c r="AB24" s="55">
        <v>439453.09</v>
      </c>
      <c r="AC24" s="55">
        <v>450672.91</v>
      </c>
      <c r="AD24" s="55">
        <v>461892.73</v>
      </c>
      <c r="AE24" s="55">
        <v>473112.55</v>
      </c>
      <c r="AF24" s="55">
        <v>484332.36</v>
      </c>
      <c r="AG24" s="55">
        <v>495552.18</v>
      </c>
      <c r="AH24" s="55">
        <v>506772</v>
      </c>
      <c r="AI24" s="55">
        <v>513434.2</v>
      </c>
      <c r="AJ24" s="55">
        <v>520096.4</v>
      </c>
      <c r="AK24" s="55">
        <v>526758.6</v>
      </c>
      <c r="AL24" s="55">
        <v>533420.80000000005</v>
      </c>
      <c r="AM24" s="55">
        <v>540083</v>
      </c>
      <c r="AN24" s="55">
        <v>546745.19999999995</v>
      </c>
      <c r="AO24" s="55">
        <v>553407.4</v>
      </c>
      <c r="AP24" s="55">
        <v>560069.6</v>
      </c>
      <c r="AQ24" s="55">
        <v>566731.80000000005</v>
      </c>
      <c r="AR24" s="55">
        <v>573394</v>
      </c>
      <c r="AS24" s="55">
        <v>576768.11</v>
      </c>
      <c r="AT24" s="55">
        <v>580142.22</v>
      </c>
      <c r="AU24" s="55">
        <v>583516.32999999996</v>
      </c>
      <c r="AV24" s="55">
        <v>586890.43999999994</v>
      </c>
      <c r="AW24" s="55">
        <v>590264.56000000006</v>
      </c>
      <c r="AX24" s="55">
        <v>593638.67000000004</v>
      </c>
      <c r="AY24" s="55">
        <v>597012.78</v>
      </c>
      <c r="AZ24" s="55">
        <v>600386.89</v>
      </c>
      <c r="BA24" s="55">
        <v>603761</v>
      </c>
      <c r="BB24" s="55">
        <v>606706</v>
      </c>
      <c r="BC24" s="12">
        <v>609553</v>
      </c>
      <c r="BD24" s="212">
        <v>678797</v>
      </c>
      <c r="BE24" s="212">
        <v>688873</v>
      </c>
      <c r="BF24" s="12">
        <v>193292</v>
      </c>
      <c r="BG24" s="12">
        <v>199308.39975497956</v>
      </c>
      <c r="BH24" s="12">
        <v>205512.06574969858</v>
      </c>
      <c r="BI24" s="12">
        <v>211908.82682631753</v>
      </c>
      <c r="BJ24" s="12">
        <v>218504.69325532578</v>
      </c>
      <c r="BK24" s="12">
        <v>225305.86238267313</v>
      </c>
      <c r="BL24" s="12">
        <v>232318.72445267381</v>
      </c>
      <c r="BM24" s="12">
        <v>239549.86861215392</v>
      </c>
      <c r="BN24" s="12">
        <v>247006.08910148378</v>
      </c>
      <c r="BO24" s="12">
        <v>254694.39163831214</v>
      </c>
      <c r="BP24" s="12">
        <v>262622</v>
      </c>
      <c r="BQ24" s="12">
        <v>272745.75115705904</v>
      </c>
      <c r="BR24" s="12">
        <v>283259.76031797938</v>
      </c>
      <c r="BS24" s="12">
        <v>294179.07144297048</v>
      </c>
      <c r="BT24" s="12">
        <v>305519.30841817945</v>
      </c>
      <c r="BU24" s="12">
        <v>317296.69741111388</v>
      </c>
      <c r="BV24" s="12">
        <v>329528.09008783853</v>
      </c>
      <c r="BW24" s="12">
        <v>342230.98772516602</v>
      </c>
      <c r="BX24" s="12">
        <v>355423.56625234243</v>
      </c>
      <c r="BY24" s="12">
        <v>369124.70225805865</v>
      </c>
      <c r="BZ24" s="12">
        <v>383354</v>
      </c>
      <c r="CA24" s="12">
        <v>393205.26784624427</v>
      </c>
      <c r="CB24" s="12">
        <v>403309.68937858142</v>
      </c>
      <c r="CC24" s="12">
        <v>413673.77003263484</v>
      </c>
      <c r="CD24" s="12">
        <v>424304.18241794227</v>
      </c>
      <c r="CE24" s="12">
        <v>435207.77061392</v>
      </c>
      <c r="CF24" s="12">
        <v>446391.55457622267</v>
      </c>
      <c r="CG24" s="12">
        <v>457862.73465633596</v>
      </c>
      <c r="CH24" s="12">
        <v>469628.69623731187</v>
      </c>
      <c r="CI24" s="12">
        <v>481697.01448863116</v>
      </c>
      <c r="CJ24" s="12">
        <v>494075.4592432541</v>
      </c>
      <c r="CK24" s="12">
        <v>506772</v>
      </c>
      <c r="CL24" s="12">
        <v>511185.45647293091</v>
      </c>
      <c r="CM24" s="12">
        <v>515637.34955648443</v>
      </c>
      <c r="CN24" s="12">
        <v>520128.01399351924</v>
      </c>
      <c r="CO24" s="12">
        <v>524657.78744215565</v>
      </c>
      <c r="CP24" s="12">
        <v>529227.01050116483</v>
      </c>
      <c r="CQ24" s="24">
        <v>533836.02673557843</v>
      </c>
      <c r="CR24" s="24">
        <v>538485.18270252179</v>
      </c>
      <c r="CS24" s="24">
        <v>543174.82797727222</v>
      </c>
      <c r="CT24" s="24">
        <v>547905.31517954345</v>
      </c>
      <c r="CU24" s="24">
        <v>552677</v>
      </c>
      <c r="CV24" s="25">
        <v>2.5</v>
      </c>
      <c r="CW24" s="26">
        <v>2.7</v>
      </c>
      <c r="CX24" s="27">
        <v>2.96</v>
      </c>
      <c r="CY24" s="28">
        <v>100.6</v>
      </c>
      <c r="CZ24" s="72">
        <v>86.4</v>
      </c>
      <c r="DA24" s="74">
        <v>11777</v>
      </c>
      <c r="DB24" s="75">
        <v>11777</v>
      </c>
      <c r="DC24" s="75">
        <v>12661</v>
      </c>
      <c r="DD24" s="75">
        <v>11909</v>
      </c>
      <c r="DE24" s="76">
        <v>10800</v>
      </c>
      <c r="DF24" s="75">
        <v>11155</v>
      </c>
    </row>
    <row r="25" spans="1:110">
      <c r="A25" s="3" t="s">
        <v>926</v>
      </c>
      <c r="B25" s="3" t="s">
        <v>927</v>
      </c>
      <c r="C25" s="3">
        <v>17</v>
      </c>
      <c r="D25" s="3" t="s">
        <v>664</v>
      </c>
      <c r="E25" s="12">
        <v>13.247481673430373</v>
      </c>
      <c r="F25" s="12">
        <v>142156</v>
      </c>
      <c r="G25" s="12">
        <v>290826</v>
      </c>
      <c r="H25" s="12">
        <v>412854</v>
      </c>
      <c r="I25" s="12">
        <v>509803</v>
      </c>
      <c r="J25" s="12">
        <v>662870</v>
      </c>
      <c r="K25" s="12">
        <v>866153</v>
      </c>
      <c r="L25" s="12">
        <v>1079051</v>
      </c>
      <c r="M25" s="55">
        <v>509803</v>
      </c>
      <c r="N25" s="55">
        <v>525109.69999999995</v>
      </c>
      <c r="O25" s="55">
        <v>540416.4</v>
      </c>
      <c r="P25" s="55">
        <v>555723.1</v>
      </c>
      <c r="Q25" s="55">
        <v>571029.80000000005</v>
      </c>
      <c r="R25" s="55">
        <v>586336.5</v>
      </c>
      <c r="S25" s="55">
        <v>601643.19999999995</v>
      </c>
      <c r="T25" s="55">
        <v>616949.9</v>
      </c>
      <c r="U25" s="55">
        <v>632256.6</v>
      </c>
      <c r="V25" s="55">
        <v>647563.30000000005</v>
      </c>
      <c r="W25" s="55">
        <v>662870</v>
      </c>
      <c r="X25" s="55">
        <v>681350.27</v>
      </c>
      <c r="Y25" s="55">
        <v>699830.55</v>
      </c>
      <c r="Z25" s="55">
        <v>718310.82</v>
      </c>
      <c r="AA25" s="55">
        <v>736791.09</v>
      </c>
      <c r="AB25" s="55">
        <v>755271.36</v>
      </c>
      <c r="AC25" s="55">
        <v>773751.64</v>
      </c>
      <c r="AD25" s="55">
        <v>792231.91</v>
      </c>
      <c r="AE25" s="55">
        <v>810712.18</v>
      </c>
      <c r="AF25" s="55">
        <v>829192.45</v>
      </c>
      <c r="AG25" s="55">
        <v>847672.73</v>
      </c>
      <c r="AH25" s="55">
        <v>866153</v>
      </c>
      <c r="AI25" s="55">
        <v>887941</v>
      </c>
      <c r="AJ25" s="55">
        <v>909729</v>
      </c>
      <c r="AK25" s="55">
        <v>931517</v>
      </c>
      <c r="AL25" s="55">
        <v>953305</v>
      </c>
      <c r="AM25" s="55">
        <v>975093</v>
      </c>
      <c r="AN25" s="55">
        <v>996881</v>
      </c>
      <c r="AO25" s="55">
        <v>1018669</v>
      </c>
      <c r="AP25" s="55">
        <v>1040457</v>
      </c>
      <c r="AQ25" s="55">
        <v>1062245</v>
      </c>
      <c r="AR25" s="55">
        <v>1084033</v>
      </c>
      <c r="AS25" s="55">
        <v>1104397.2</v>
      </c>
      <c r="AT25" s="55">
        <v>1124761.3999999999</v>
      </c>
      <c r="AU25" s="55">
        <v>1145125.7</v>
      </c>
      <c r="AV25" s="55">
        <v>1165489.8999999999</v>
      </c>
      <c r="AW25" s="55">
        <v>1185854.1000000001</v>
      </c>
      <c r="AX25" s="55">
        <v>1206218.3</v>
      </c>
      <c r="AY25" s="55">
        <v>1226582.6000000001</v>
      </c>
      <c r="AZ25" s="55">
        <v>1246946.8</v>
      </c>
      <c r="BA25" s="55">
        <v>1267311</v>
      </c>
      <c r="BB25" s="55">
        <v>1289272</v>
      </c>
      <c r="BC25" s="12">
        <v>1311499</v>
      </c>
      <c r="BD25" s="212">
        <v>1295944</v>
      </c>
      <c r="BE25" s="212">
        <v>1314726</v>
      </c>
      <c r="BF25" s="12">
        <v>412854</v>
      </c>
      <c r="BG25" s="12">
        <v>421654.8360356387</v>
      </c>
      <c r="BH25" s="12">
        <v>430643.28007538099</v>
      </c>
      <c r="BI25" s="12">
        <v>439823.33137146401</v>
      </c>
      <c r="BJ25" s="12">
        <v>449199.07442844938</v>
      </c>
      <c r="BK25" s="12">
        <v>458774.68082055275</v>
      </c>
      <c r="BL25" s="12">
        <v>468554.41104771331</v>
      </c>
      <c r="BM25" s="12">
        <v>478542.61643122946</v>
      </c>
      <c r="BN25" s="12">
        <v>488743.7410498035</v>
      </c>
      <c r="BO25" s="12">
        <v>499162.32371685765</v>
      </c>
      <c r="BP25" s="12">
        <v>509803</v>
      </c>
      <c r="BQ25" s="12">
        <v>523365.37199851265</v>
      </c>
      <c r="BR25" s="12">
        <v>537288.54598176456</v>
      </c>
      <c r="BS25" s="12">
        <v>551582.12042354827</v>
      </c>
      <c r="BT25" s="12">
        <v>566255.94914741325</v>
      </c>
      <c r="BU25" s="12">
        <v>581320.14811977721</v>
      </c>
      <c r="BV25" s="12">
        <v>596785.10242375522</v>
      </c>
      <c r="BW25" s="12">
        <v>612661.47341851483</v>
      </c>
      <c r="BX25" s="12">
        <v>628960.206089093</v>
      </c>
      <c r="BY25" s="12">
        <v>645692.53659174102</v>
      </c>
      <c r="BZ25" s="12">
        <v>662870</v>
      </c>
      <c r="CA25" s="12">
        <v>679186.32399122638</v>
      </c>
      <c r="CB25" s="12">
        <v>695904.26885620877</v>
      </c>
      <c r="CC25" s="12">
        <v>713033.72035881924</v>
      </c>
      <c r="CD25" s="12">
        <v>730584.80759771075</v>
      </c>
      <c r="CE25" s="12">
        <v>748567.90899592161</v>
      </c>
      <c r="CF25" s="12">
        <v>766993.65843791224</v>
      </c>
      <c r="CG25" s="12">
        <v>785872.95155766269</v>
      </c>
      <c r="CH25" s="12">
        <v>805216.95218154998</v>
      </c>
      <c r="CI25" s="12">
        <v>825037.09892981441</v>
      </c>
      <c r="CJ25" s="12">
        <v>845345.11198051868</v>
      </c>
      <c r="CK25" s="12">
        <v>866153</v>
      </c>
      <c r="CL25" s="12">
        <v>885430.09477847023</v>
      </c>
      <c r="CM25" s="12">
        <v>905136.22043612471</v>
      </c>
      <c r="CN25" s="12">
        <v>925280.92548104574</v>
      </c>
      <c r="CO25" s="12">
        <v>945873.97093284095</v>
      </c>
      <c r="CP25" s="12">
        <v>966925.33505229838</v>
      </c>
      <c r="CQ25" s="24">
        <v>988445.21817630448</v>
      </c>
      <c r="CR25" s="24">
        <v>1010444.0476603683</v>
      </c>
      <c r="CS25" s="24">
        <v>1032932.482931146</v>
      </c>
      <c r="CT25" s="24">
        <v>1055921.4206514151</v>
      </c>
      <c r="CU25" s="24">
        <v>1079422</v>
      </c>
      <c r="CV25" s="25">
        <v>5.6</v>
      </c>
      <c r="CW25" s="26">
        <v>6.9</v>
      </c>
      <c r="CX25" s="27">
        <v>3.26</v>
      </c>
      <c r="CY25" s="28">
        <v>98.4</v>
      </c>
      <c r="CZ25" s="72">
        <v>79.7</v>
      </c>
      <c r="DA25" s="74">
        <v>23562</v>
      </c>
      <c r="DB25" s="75">
        <v>23562</v>
      </c>
      <c r="DC25" s="75">
        <v>25995</v>
      </c>
      <c r="DD25" s="75">
        <v>25793</v>
      </c>
      <c r="DE25" s="76">
        <v>27402</v>
      </c>
      <c r="DF25" s="75">
        <v>24948</v>
      </c>
    </row>
    <row r="26" spans="1:110">
      <c r="A26" s="3" t="s">
        <v>928</v>
      </c>
      <c r="B26" s="3" t="s">
        <v>929</v>
      </c>
      <c r="C26" s="3">
        <v>18</v>
      </c>
      <c r="D26" s="3" t="s">
        <v>713</v>
      </c>
      <c r="E26" s="12">
        <v>11.987386875053389</v>
      </c>
      <c r="F26" s="12">
        <v>119252</v>
      </c>
      <c r="G26" s="12">
        <v>261229</v>
      </c>
      <c r="H26" s="12">
        <v>352387</v>
      </c>
      <c r="I26" s="12">
        <v>384284</v>
      </c>
      <c r="J26" s="12">
        <v>465976</v>
      </c>
      <c r="K26" s="12">
        <v>528715</v>
      </c>
      <c r="L26" s="12">
        <v>620023</v>
      </c>
      <c r="M26" s="55">
        <v>384284</v>
      </c>
      <c r="N26" s="55">
        <v>392453.2</v>
      </c>
      <c r="O26" s="55">
        <v>400622.4</v>
      </c>
      <c r="P26" s="55">
        <v>408791.6</v>
      </c>
      <c r="Q26" s="55">
        <v>416960.8</v>
      </c>
      <c r="R26" s="55">
        <v>425130</v>
      </c>
      <c r="S26" s="55">
        <v>433299.20000000001</v>
      </c>
      <c r="T26" s="55">
        <v>441468.4</v>
      </c>
      <c r="U26" s="55">
        <v>449637.6</v>
      </c>
      <c r="V26" s="55">
        <v>457806.8</v>
      </c>
      <c r="W26" s="55">
        <v>465976</v>
      </c>
      <c r="X26" s="55">
        <v>471679.55</v>
      </c>
      <c r="Y26" s="55">
        <v>477383.09</v>
      </c>
      <c r="Z26" s="55">
        <v>483086.64</v>
      </c>
      <c r="AA26" s="55">
        <v>488790.18</v>
      </c>
      <c r="AB26" s="55">
        <v>494493.73</v>
      </c>
      <c r="AC26" s="55">
        <v>500197.27</v>
      </c>
      <c r="AD26" s="55">
        <v>505900.82</v>
      </c>
      <c r="AE26" s="55">
        <v>511604.36</v>
      </c>
      <c r="AF26" s="55">
        <v>517307.91</v>
      </c>
      <c r="AG26" s="55">
        <v>523011.45</v>
      </c>
      <c r="AH26" s="55">
        <v>528715</v>
      </c>
      <c r="AI26" s="55">
        <v>538634.80000000005</v>
      </c>
      <c r="AJ26" s="55">
        <v>548554.6</v>
      </c>
      <c r="AK26" s="55">
        <v>558474.4</v>
      </c>
      <c r="AL26" s="55">
        <v>568394.19999999995</v>
      </c>
      <c r="AM26" s="55">
        <v>578314</v>
      </c>
      <c r="AN26" s="55">
        <v>588233.80000000005</v>
      </c>
      <c r="AO26" s="55">
        <v>598153.6</v>
      </c>
      <c r="AP26" s="55">
        <v>608073.4</v>
      </c>
      <c r="AQ26" s="55">
        <v>617993.19999999995</v>
      </c>
      <c r="AR26" s="55">
        <v>627913</v>
      </c>
      <c r="AS26" s="55">
        <v>637595.11</v>
      </c>
      <c r="AT26" s="55">
        <v>647277.22</v>
      </c>
      <c r="AU26" s="55">
        <v>656959.32999999996</v>
      </c>
      <c r="AV26" s="55">
        <v>666641.43999999994</v>
      </c>
      <c r="AW26" s="55">
        <v>676323.56</v>
      </c>
      <c r="AX26" s="55">
        <v>686005.67</v>
      </c>
      <c r="AY26" s="55">
        <v>695687.78</v>
      </c>
      <c r="AZ26" s="55">
        <v>705369.89</v>
      </c>
      <c r="BA26" s="55">
        <v>715052</v>
      </c>
      <c r="BB26" s="55">
        <v>724680</v>
      </c>
      <c r="BC26" s="12">
        <v>734301</v>
      </c>
      <c r="BD26" s="212">
        <v>721830</v>
      </c>
      <c r="BE26" s="212">
        <v>730408</v>
      </c>
      <c r="BF26" s="12">
        <v>352387</v>
      </c>
      <c r="BG26" s="12">
        <v>355453.76672939281</v>
      </c>
      <c r="BH26" s="12">
        <v>358547.22303068388</v>
      </c>
      <c r="BI26" s="12">
        <v>361667.60117887513</v>
      </c>
      <c r="BJ26" s="12">
        <v>364815.13547042018</v>
      </c>
      <c r="BK26" s="12">
        <v>367990.06224081642</v>
      </c>
      <c r="BL26" s="12">
        <v>371192.61988235067</v>
      </c>
      <c r="BM26" s="12">
        <v>374423.04886199901</v>
      </c>
      <c r="BN26" s="12">
        <v>377681.59173948254</v>
      </c>
      <c r="BO26" s="12">
        <v>380968.49318548013</v>
      </c>
      <c r="BP26" s="12">
        <v>384284</v>
      </c>
      <c r="BQ26" s="12">
        <v>391763.00950363412</v>
      </c>
      <c r="BR26" s="12">
        <v>399387.57693618396</v>
      </c>
      <c r="BS26" s="12">
        <v>407160.53517420357</v>
      </c>
      <c r="BT26" s="12">
        <v>415084.77222823817</v>
      </c>
      <c r="BU26" s="12">
        <v>423163.23231585254</v>
      </c>
      <c r="BV26" s="12">
        <v>431398.91695554298</v>
      </c>
      <c r="BW26" s="12">
        <v>439794.88608193904</v>
      </c>
      <c r="BX26" s="12">
        <v>448354.25918270962</v>
      </c>
      <c r="BY26" s="12">
        <v>457080.2164575957</v>
      </c>
      <c r="BZ26" s="12">
        <v>465976</v>
      </c>
      <c r="CA26" s="12">
        <v>471357.74496917508</v>
      </c>
      <c r="CB26" s="12">
        <v>476801.64588396373</v>
      </c>
      <c r="CC26" s="12">
        <v>482308.42060847837</v>
      </c>
      <c r="CD26" s="12">
        <v>487878.79529773374</v>
      </c>
      <c r="CE26" s="12">
        <v>493513.50449340214</v>
      </c>
      <c r="CF26" s="12">
        <v>499213.29122067423</v>
      </c>
      <c r="CG26" s="12">
        <v>504978.90708623856</v>
      </c>
      <c r="CH26" s="12">
        <v>510811.11237739283</v>
      </c>
      <c r="CI26" s="12">
        <v>516710.6761622997</v>
      </c>
      <c r="CJ26" s="12">
        <v>522678.37639140058</v>
      </c>
      <c r="CK26" s="12">
        <v>528715</v>
      </c>
      <c r="CL26" s="12">
        <v>537384.41851464449</v>
      </c>
      <c r="CM26" s="12">
        <v>546195.99077446747</v>
      </c>
      <c r="CN26" s="12">
        <v>555152.04769557761</v>
      </c>
      <c r="CO26" s="12">
        <v>564254.95841446181</v>
      </c>
      <c r="CP26" s="12">
        <v>573507.13091469032</v>
      </c>
      <c r="CQ26" s="24">
        <v>582911.01266389829</v>
      </c>
      <c r="CR26" s="24">
        <v>592469.09126121167</v>
      </c>
      <c r="CS26" s="24">
        <v>602183.89509528968</v>
      </c>
      <c r="CT26" s="24">
        <v>612057.99401315628</v>
      </c>
      <c r="CU26" s="24">
        <v>622094</v>
      </c>
      <c r="CV26" s="25">
        <v>5.9</v>
      </c>
      <c r="CW26" s="26">
        <v>6.9</v>
      </c>
      <c r="CX26" s="27">
        <v>2.75</v>
      </c>
      <c r="CY26" s="28">
        <v>94.3</v>
      </c>
      <c r="CZ26" s="72">
        <v>78.900000000000006</v>
      </c>
      <c r="DA26" s="74">
        <v>13509</v>
      </c>
      <c r="DB26" s="75">
        <v>13509</v>
      </c>
      <c r="DC26" s="75">
        <v>12338</v>
      </c>
      <c r="DD26" s="75">
        <v>13114</v>
      </c>
      <c r="DE26" s="76">
        <v>14761</v>
      </c>
      <c r="DF26" s="75">
        <v>13940</v>
      </c>
    </row>
    <row r="27" spans="1:110">
      <c r="A27" s="3" t="s">
        <v>841</v>
      </c>
      <c r="B27" s="3" t="s">
        <v>659</v>
      </c>
      <c r="C27" s="3">
        <v>19</v>
      </c>
      <c r="D27" s="3" t="s">
        <v>713</v>
      </c>
      <c r="E27" s="12">
        <v>10.497114936557447</v>
      </c>
      <c r="F27" s="12">
        <v>116266</v>
      </c>
      <c r="G27" s="12">
        <v>165546</v>
      </c>
      <c r="H27" s="12">
        <v>174316</v>
      </c>
      <c r="I27" s="12">
        <v>183460</v>
      </c>
      <c r="J27" s="12">
        <v>214416</v>
      </c>
      <c r="K27" s="12">
        <v>286458</v>
      </c>
      <c r="L27" s="12">
        <v>367933</v>
      </c>
      <c r="M27" s="55">
        <v>183460</v>
      </c>
      <c r="N27" s="55">
        <v>186555.6</v>
      </c>
      <c r="O27" s="55">
        <v>189651.20000000001</v>
      </c>
      <c r="P27" s="55">
        <v>192746.8</v>
      </c>
      <c r="Q27" s="55">
        <v>195842.4</v>
      </c>
      <c r="R27" s="55">
        <v>198938</v>
      </c>
      <c r="S27" s="55">
        <v>202033.6</v>
      </c>
      <c r="T27" s="55">
        <v>205129.2</v>
      </c>
      <c r="U27" s="55">
        <v>208224.8</v>
      </c>
      <c r="V27" s="55">
        <v>211320.4</v>
      </c>
      <c r="W27" s="55">
        <v>214416</v>
      </c>
      <c r="X27" s="55">
        <v>220965.27</v>
      </c>
      <c r="Y27" s="55">
        <v>227514.55</v>
      </c>
      <c r="Z27" s="55">
        <v>234063.82</v>
      </c>
      <c r="AA27" s="55">
        <v>240613.09</v>
      </c>
      <c r="AB27" s="55">
        <v>247162.36</v>
      </c>
      <c r="AC27" s="55">
        <v>253711.64</v>
      </c>
      <c r="AD27" s="55">
        <v>260260.91</v>
      </c>
      <c r="AE27" s="55">
        <v>266810.18</v>
      </c>
      <c r="AF27" s="55">
        <v>273359.45</v>
      </c>
      <c r="AG27" s="55">
        <v>279908.73</v>
      </c>
      <c r="AH27" s="55">
        <v>286458</v>
      </c>
      <c r="AI27" s="55">
        <v>295097.09999999998</v>
      </c>
      <c r="AJ27" s="55">
        <v>303736.2</v>
      </c>
      <c r="AK27" s="55">
        <v>312375.3</v>
      </c>
      <c r="AL27" s="55">
        <v>321014.40000000002</v>
      </c>
      <c r="AM27" s="55">
        <v>329653.5</v>
      </c>
      <c r="AN27" s="55">
        <v>338292.6</v>
      </c>
      <c r="AO27" s="55">
        <v>346931.7</v>
      </c>
      <c r="AP27" s="55">
        <v>355570.8</v>
      </c>
      <c r="AQ27" s="55">
        <v>364209.9</v>
      </c>
      <c r="AR27" s="55">
        <v>372849</v>
      </c>
      <c r="AS27" s="55">
        <v>382173.22</v>
      </c>
      <c r="AT27" s="55">
        <v>391497.44</v>
      </c>
      <c r="AU27" s="55">
        <v>400821.67</v>
      </c>
      <c r="AV27" s="55">
        <v>410145.89</v>
      </c>
      <c r="AW27" s="55">
        <v>419470.11</v>
      </c>
      <c r="AX27" s="55">
        <v>428794.33</v>
      </c>
      <c r="AY27" s="55">
        <v>438118.56</v>
      </c>
      <c r="AZ27" s="55">
        <v>447442.78</v>
      </c>
      <c r="BA27" s="55">
        <v>456767</v>
      </c>
      <c r="BB27" s="55">
        <v>466441</v>
      </c>
      <c r="BC27" s="12">
        <v>476191</v>
      </c>
      <c r="BD27" s="212">
        <v>463411</v>
      </c>
      <c r="BE27" s="212">
        <v>469889</v>
      </c>
      <c r="BF27" s="12">
        <v>174316</v>
      </c>
      <c r="BG27" s="12">
        <v>175209.5061134671</v>
      </c>
      <c r="BH27" s="12">
        <v>176107.5921460168</v>
      </c>
      <c r="BI27" s="12">
        <v>177010.28157332374</v>
      </c>
      <c r="BJ27" s="12">
        <v>177917.59799139379</v>
      </c>
      <c r="BK27" s="12">
        <v>178829.56511718081</v>
      </c>
      <c r="BL27" s="12">
        <v>179746.20678920671</v>
      </c>
      <c r="BM27" s="12">
        <v>180667.54696818441</v>
      </c>
      <c r="BN27" s="12">
        <v>181593.60973764435</v>
      </c>
      <c r="BO27" s="12">
        <v>182524.41930456387</v>
      </c>
      <c r="BP27" s="12">
        <v>183460</v>
      </c>
      <c r="BQ27" s="12">
        <v>186342.95116054732</v>
      </c>
      <c r="BR27" s="12">
        <v>189271.20596981427</v>
      </c>
      <c r="BS27" s="12">
        <v>192245.47634433114</v>
      </c>
      <c r="BT27" s="12">
        <v>195266.48538792026</v>
      </c>
      <c r="BU27" s="12">
        <v>198334.96756749673</v>
      </c>
      <c r="BV27" s="12">
        <v>201451.66889163185</v>
      </c>
      <c r="BW27" s="12">
        <v>204617.34709192251</v>
      </c>
      <c r="BX27" s="12">
        <v>207832.77180721069</v>
      </c>
      <c r="BY27" s="12">
        <v>211098.72477069791</v>
      </c>
      <c r="BZ27" s="12">
        <v>214416</v>
      </c>
      <c r="CA27" s="12">
        <v>220137.43193740342</v>
      </c>
      <c r="CB27" s="12">
        <v>226011.53337435136</v>
      </c>
      <c r="CC27" s="12">
        <v>232042.37811200868</v>
      </c>
      <c r="CD27" s="12">
        <v>238234.148656003</v>
      </c>
      <c r="CE27" s="12">
        <v>244591.13911707199</v>
      </c>
      <c r="CF27" s="12">
        <v>251117.7581891109</v>
      </c>
      <c r="CG27" s="12">
        <v>257818.53220668575</v>
      </c>
      <c r="CH27" s="12">
        <v>264698.10828413238</v>
      </c>
      <c r="CI27" s="12">
        <v>271761.25753841893</v>
      </c>
      <c r="CJ27" s="12">
        <v>279012.87839800603</v>
      </c>
      <c r="CK27" s="12">
        <v>286458</v>
      </c>
      <c r="CL27" s="12">
        <v>293636.22428027808</v>
      </c>
      <c r="CM27" s="12">
        <v>300994.32450683089</v>
      </c>
      <c r="CN27" s="12">
        <v>308536.80811141105</v>
      </c>
      <c r="CO27" s="12">
        <v>316268.29547550919</v>
      </c>
      <c r="CP27" s="12">
        <v>324193.52276071144</v>
      </c>
      <c r="CQ27" s="24">
        <v>332317.34480998159</v>
      </c>
      <c r="CR27" s="24">
        <v>340644.73812164523</v>
      </c>
      <c r="CS27" s="24">
        <v>349180.80389789783</v>
      </c>
      <c r="CT27" s="24">
        <v>357930.77116970351</v>
      </c>
      <c r="CU27" s="24">
        <v>366900</v>
      </c>
      <c r="CV27" s="25">
        <v>3.7</v>
      </c>
      <c r="CW27" s="26">
        <v>4.8</v>
      </c>
      <c r="CX27" s="27">
        <v>2.91</v>
      </c>
      <c r="CY27" s="28">
        <v>100.8</v>
      </c>
      <c r="CZ27" s="72">
        <v>80.599999999999994</v>
      </c>
      <c r="DA27" s="74">
        <v>5684</v>
      </c>
      <c r="DB27" s="75">
        <v>5684</v>
      </c>
      <c r="DC27" s="75">
        <v>6679</v>
      </c>
      <c r="DD27" s="75">
        <v>7985</v>
      </c>
      <c r="DE27" s="76">
        <v>8621</v>
      </c>
      <c r="DF27" s="75">
        <v>8311</v>
      </c>
    </row>
    <row r="28" spans="1:110">
      <c r="A28" s="3" t="s">
        <v>660</v>
      </c>
      <c r="B28" s="3" t="s">
        <v>661</v>
      </c>
      <c r="C28" s="3">
        <v>20</v>
      </c>
      <c r="D28" s="3" t="s">
        <v>541</v>
      </c>
      <c r="E28" s="12">
        <v>8.8836163625315443</v>
      </c>
      <c r="F28" s="12">
        <v>9948</v>
      </c>
      <c r="G28" s="12">
        <v>42880</v>
      </c>
      <c r="H28" s="12">
        <v>52908</v>
      </c>
      <c r="I28" s="12">
        <v>84457</v>
      </c>
      <c r="J28" s="12">
        <v>114941</v>
      </c>
      <c r="K28" s="12">
        <v>159839</v>
      </c>
      <c r="L28" s="12">
        <v>196958</v>
      </c>
      <c r="M28" s="55">
        <v>84457</v>
      </c>
      <c r="N28" s="55">
        <v>87505.4</v>
      </c>
      <c r="O28" s="55">
        <v>90553.8</v>
      </c>
      <c r="P28" s="55">
        <v>93602.2</v>
      </c>
      <c r="Q28" s="55">
        <v>96650.6</v>
      </c>
      <c r="R28" s="55">
        <v>99699</v>
      </c>
      <c r="S28" s="55">
        <v>102747.4</v>
      </c>
      <c r="T28" s="55">
        <v>105795.8</v>
      </c>
      <c r="U28" s="55">
        <v>108844.2</v>
      </c>
      <c r="V28" s="55">
        <v>111892.6</v>
      </c>
      <c r="W28" s="55">
        <v>114941</v>
      </c>
      <c r="X28" s="55">
        <v>119022.64</v>
      </c>
      <c r="Y28" s="55">
        <v>123104.27</v>
      </c>
      <c r="Z28" s="55">
        <v>127185.91</v>
      </c>
      <c r="AA28" s="55">
        <v>131267.54999999999</v>
      </c>
      <c r="AB28" s="55">
        <v>135349.18</v>
      </c>
      <c r="AC28" s="55">
        <v>139430.82</v>
      </c>
      <c r="AD28" s="55">
        <v>143512.45000000001</v>
      </c>
      <c r="AE28" s="55">
        <v>147594.09</v>
      </c>
      <c r="AF28" s="55">
        <v>151675.73000000001</v>
      </c>
      <c r="AG28" s="55">
        <v>155757.35999999999</v>
      </c>
      <c r="AH28" s="55">
        <v>159839</v>
      </c>
      <c r="AI28" s="55">
        <v>163667.20000000001</v>
      </c>
      <c r="AJ28" s="55">
        <v>167495.4</v>
      </c>
      <c r="AK28" s="55">
        <v>171323.6</v>
      </c>
      <c r="AL28" s="55">
        <v>175151.8</v>
      </c>
      <c r="AM28" s="55">
        <v>178980</v>
      </c>
      <c r="AN28" s="55">
        <v>182808.2</v>
      </c>
      <c r="AO28" s="55">
        <v>186636.4</v>
      </c>
      <c r="AP28" s="55">
        <v>190464.6</v>
      </c>
      <c r="AQ28" s="55">
        <v>194292.8</v>
      </c>
      <c r="AR28" s="55">
        <v>198121</v>
      </c>
      <c r="AS28" s="55">
        <v>202117.22</v>
      </c>
      <c r="AT28" s="55">
        <v>206113.44</v>
      </c>
      <c r="AU28" s="55">
        <v>210109.67</v>
      </c>
      <c r="AV28" s="55">
        <v>214105.89</v>
      </c>
      <c r="AW28" s="55">
        <v>218102.11</v>
      </c>
      <c r="AX28" s="55">
        <v>222098.33</v>
      </c>
      <c r="AY28" s="55">
        <v>226094.56</v>
      </c>
      <c r="AZ28" s="55">
        <v>230090.78</v>
      </c>
      <c r="BA28" s="55">
        <v>234087</v>
      </c>
      <c r="BB28" s="55">
        <v>238171</v>
      </c>
      <c r="BC28" s="12">
        <v>242275</v>
      </c>
      <c r="BD28" s="212">
        <v>302420</v>
      </c>
      <c r="BE28" s="212">
        <v>311444</v>
      </c>
      <c r="BF28" s="12">
        <v>52908</v>
      </c>
      <c r="BG28" s="12">
        <v>55441.219614468348</v>
      </c>
      <c r="BH28" s="12">
        <v>58095.729045507484</v>
      </c>
      <c r="BI28" s="12">
        <v>60877.335614172305</v>
      </c>
      <c r="BJ28" s="12">
        <v>63792.124694356658</v>
      </c>
      <c r="BK28" s="12">
        <v>66846.473025882238</v>
      </c>
      <c r="BL28" s="12">
        <v>70047.062665014208</v>
      </c>
      <c r="BM28" s="12">
        <v>73400.895602923556</v>
      </c>
      <c r="BN28" s="12">
        <v>76915.30908407706</v>
      </c>
      <c r="BO28" s="12">
        <v>80597.991658067374</v>
      </c>
      <c r="BP28" s="12">
        <v>84457</v>
      </c>
      <c r="BQ28" s="12">
        <v>87100.286355387769</v>
      </c>
      <c r="BR28" s="12">
        <v>89826.300758854195</v>
      </c>
      <c r="BS28" s="12">
        <v>92637.632385017059</v>
      </c>
      <c r="BT28" s="12">
        <v>95536.95144298434</v>
      </c>
      <c r="BU28" s="12">
        <v>98527.011712524865</v>
      </c>
      <c r="BV28" s="12">
        <v>101610.65315961448</v>
      </c>
      <c r="BW28" s="12">
        <v>104790.80463384216</v>
      </c>
      <c r="BX28" s="12">
        <v>108070.48665023794</v>
      </c>
      <c r="BY28" s="12">
        <v>111452.81425816493</v>
      </c>
      <c r="BZ28" s="12">
        <v>114941</v>
      </c>
      <c r="CA28" s="12">
        <v>118438.76236648746</v>
      </c>
      <c r="CB28" s="12">
        <v>122042.96492030942</v>
      </c>
      <c r="CC28" s="12">
        <v>125756.84673613499</v>
      </c>
      <c r="CD28" s="12">
        <v>129583.74545671149</v>
      </c>
      <c r="CE28" s="12">
        <v>133527.10029238349</v>
      </c>
      <c r="CF28" s="12">
        <v>137590.45511188998</v>
      </c>
      <c r="CG28" s="12">
        <v>141777.46162721742</v>
      </c>
      <c r="CH28" s="12">
        <v>146091.88267537081</v>
      </c>
      <c r="CI28" s="12">
        <v>150537.59560001225</v>
      </c>
      <c r="CJ28" s="12">
        <v>155118.59573600575</v>
      </c>
      <c r="CK28" s="12">
        <v>159839</v>
      </c>
      <c r="CL28" s="12">
        <v>163231.20526444365</v>
      </c>
      <c r="CM28" s="12">
        <v>166695.40207385516</v>
      </c>
      <c r="CN28" s="12">
        <v>170233.11827874559</v>
      </c>
      <c r="CO28" s="12">
        <v>173845.91415464459</v>
      </c>
      <c r="CP28" s="12">
        <v>177535.38309024481</v>
      </c>
      <c r="CQ28" s="24">
        <v>181303.15229015064</v>
      </c>
      <c r="CR28" s="24">
        <v>185150.88349254103</v>
      </c>
      <c r="CS28" s="24">
        <v>189080.27370206304</v>
      </c>
      <c r="CT28" s="24">
        <v>193093.05593827937</v>
      </c>
      <c r="CU28" s="24">
        <v>197191</v>
      </c>
      <c r="CV28" s="25">
        <v>0.7</v>
      </c>
      <c r="CW28" s="26">
        <v>0.8</v>
      </c>
      <c r="CX28" s="27">
        <v>2.96</v>
      </c>
      <c r="CY28" s="28">
        <v>110.1</v>
      </c>
      <c r="CZ28" s="72">
        <v>81.2</v>
      </c>
      <c r="DA28" s="74">
        <v>3157</v>
      </c>
      <c r="DB28" s="75">
        <v>3157</v>
      </c>
      <c r="DC28" s="75">
        <v>4171</v>
      </c>
      <c r="DD28" s="75">
        <v>3979</v>
      </c>
      <c r="DE28" s="76">
        <v>4609</v>
      </c>
      <c r="DF28" s="75">
        <v>4960</v>
      </c>
    </row>
    <row r="29" spans="1:110">
      <c r="A29" s="3" t="s">
        <v>80</v>
      </c>
      <c r="B29" s="3" t="s">
        <v>747</v>
      </c>
      <c r="C29" s="3">
        <v>21</v>
      </c>
      <c r="D29" s="3" t="s">
        <v>759</v>
      </c>
      <c r="E29" s="12">
        <v>8.4894106331571617</v>
      </c>
      <c r="F29" s="12">
        <v>899640</v>
      </c>
      <c r="G29" s="12">
        <v>1702975</v>
      </c>
      <c r="H29" s="12">
        <v>1884918</v>
      </c>
      <c r="I29" s="12">
        <v>2135583</v>
      </c>
      <c r="J29" s="12">
        <v>2465546</v>
      </c>
      <c r="K29" s="12">
        <v>2798422</v>
      </c>
      <c r="L29" s="12">
        <v>3000701</v>
      </c>
      <c r="M29" s="55">
        <v>2135583</v>
      </c>
      <c r="N29" s="55">
        <v>2168579.2999999998</v>
      </c>
      <c r="O29" s="55">
        <v>2201575.6</v>
      </c>
      <c r="P29" s="55">
        <v>2234571.9</v>
      </c>
      <c r="Q29" s="55">
        <v>2267568.2000000002</v>
      </c>
      <c r="R29" s="55">
        <v>2300564.5</v>
      </c>
      <c r="S29" s="55">
        <v>2333560.7999999998</v>
      </c>
      <c r="T29" s="55">
        <v>2366557.1</v>
      </c>
      <c r="U29" s="55">
        <v>2399553.4</v>
      </c>
      <c r="V29" s="55">
        <v>2432549.7000000002</v>
      </c>
      <c r="W29" s="55">
        <v>2465546</v>
      </c>
      <c r="X29" s="55">
        <v>2495807.5</v>
      </c>
      <c r="Y29" s="55">
        <v>2526068.9</v>
      </c>
      <c r="Z29" s="55">
        <v>2556330.4</v>
      </c>
      <c r="AA29" s="55">
        <v>2586591.7999999998</v>
      </c>
      <c r="AB29" s="55">
        <v>2616853.2999999998</v>
      </c>
      <c r="AC29" s="55">
        <v>2647114.7000000002</v>
      </c>
      <c r="AD29" s="55">
        <v>2677376.2000000002</v>
      </c>
      <c r="AE29" s="55">
        <v>2707637.6</v>
      </c>
      <c r="AF29" s="55">
        <v>2737899.1</v>
      </c>
      <c r="AG29" s="55">
        <v>2768160.5</v>
      </c>
      <c r="AH29" s="55">
        <v>2798422</v>
      </c>
      <c r="AI29" s="55">
        <v>2828129.4</v>
      </c>
      <c r="AJ29" s="55">
        <v>2857836.8</v>
      </c>
      <c r="AK29" s="55">
        <v>2887544.2</v>
      </c>
      <c r="AL29" s="55">
        <v>2917251.6</v>
      </c>
      <c r="AM29" s="55">
        <v>2946959</v>
      </c>
      <c r="AN29" s="55">
        <v>2976666.4</v>
      </c>
      <c r="AO29" s="55">
        <v>3006373.8</v>
      </c>
      <c r="AP29" s="55">
        <v>3036081.2</v>
      </c>
      <c r="AQ29" s="55">
        <v>3065788.6</v>
      </c>
      <c r="AR29" s="55">
        <v>3095496</v>
      </c>
      <c r="AS29" s="55">
        <v>3116570.9</v>
      </c>
      <c r="AT29" s="55">
        <v>3137645.8</v>
      </c>
      <c r="AU29" s="55">
        <v>3158720.7</v>
      </c>
      <c r="AV29" s="55">
        <v>3179795.6</v>
      </c>
      <c r="AW29" s="55">
        <v>3200870.3999999999</v>
      </c>
      <c r="AX29" s="55">
        <v>3221945.3</v>
      </c>
      <c r="AY29" s="55">
        <v>3243020.2</v>
      </c>
      <c r="AZ29" s="55">
        <v>3264095.1</v>
      </c>
      <c r="BA29" s="55">
        <v>3285170</v>
      </c>
      <c r="BB29" s="55">
        <v>3305884</v>
      </c>
      <c r="BC29" s="12">
        <v>3326511</v>
      </c>
      <c r="BD29" s="212">
        <v>3341228</v>
      </c>
      <c r="BE29" s="212">
        <v>3369365</v>
      </c>
      <c r="BF29" s="12">
        <v>1884918</v>
      </c>
      <c r="BG29" s="12">
        <v>1908599.7432851854</v>
      </c>
      <c r="BH29" s="12">
        <v>1932579.0193887881</v>
      </c>
      <c r="BI29" s="12">
        <v>1956859.5664552923</v>
      </c>
      <c r="BJ29" s="12">
        <v>1981445.1695945023</v>
      </c>
      <c r="BK29" s="12">
        <v>2006339.6614716067</v>
      </c>
      <c r="BL29" s="12">
        <v>2031546.9229046539</v>
      </c>
      <c r="BM29" s="12">
        <v>2057070.8834695362</v>
      </c>
      <c r="BN29" s="12">
        <v>2082915.5221125728</v>
      </c>
      <c r="BO29" s="12">
        <v>2109084.8677707915</v>
      </c>
      <c r="BP29" s="12">
        <v>2135583</v>
      </c>
      <c r="BQ29" s="12">
        <v>2166487.1652333797</v>
      </c>
      <c r="BR29" s="12">
        <v>2197838.5467204815</v>
      </c>
      <c r="BS29" s="12">
        <v>2229643.6161577925</v>
      </c>
      <c r="BT29" s="12">
        <v>2261908.9388941559</v>
      </c>
      <c r="BU29" s="12">
        <v>2294641.1752860188</v>
      </c>
      <c r="BV29" s="12">
        <v>2327847.0820722948</v>
      </c>
      <c r="BW29" s="12">
        <v>2361533.5137691209</v>
      </c>
      <c r="BX29" s="12">
        <v>2395707.424084798</v>
      </c>
      <c r="BY29" s="12">
        <v>2430375.8673552074</v>
      </c>
      <c r="BZ29" s="12">
        <v>2465546</v>
      </c>
      <c r="CA29" s="12">
        <v>2494095.7276473469</v>
      </c>
      <c r="CB29" s="12">
        <v>2522976.0461450522</v>
      </c>
      <c r="CC29" s="12">
        <v>2552190.7835615193</v>
      </c>
      <c r="CD29" s="12">
        <v>2581743.8122921735</v>
      </c>
      <c r="CE29" s="12">
        <v>2611639.0495727453</v>
      </c>
      <c r="CF29" s="12">
        <v>2641880.4579984965</v>
      </c>
      <c r="CG29" s="12">
        <v>2672472.0460494617</v>
      </c>
      <c r="CH29" s="12">
        <v>2703417.868621768</v>
      </c>
      <c r="CI29" s="12">
        <v>2734722.0275651105</v>
      </c>
      <c r="CJ29" s="12">
        <v>2766388.6722264485</v>
      </c>
      <c r="CK29" s="12">
        <v>2798422</v>
      </c>
      <c r="CL29" s="12">
        <v>2817708.1510414225</v>
      </c>
      <c r="CM29" s="12">
        <v>2837127.2182841874</v>
      </c>
      <c r="CN29" s="12">
        <v>2856680.1177595202</v>
      </c>
      <c r="CO29" s="12">
        <v>2876367.7718117465</v>
      </c>
      <c r="CP29" s="12">
        <v>2896191.1091417996</v>
      </c>
      <c r="CQ29" s="24">
        <v>2916151.0648510293</v>
      </c>
      <c r="CR29" s="24">
        <v>2936248.5804853127</v>
      </c>
      <c r="CS29" s="24">
        <v>2956484.6040794677</v>
      </c>
      <c r="CT29" s="24">
        <v>2976860.0902019744</v>
      </c>
      <c r="CU29" s="24">
        <v>2997376</v>
      </c>
      <c r="CV29" s="25">
        <v>21</v>
      </c>
      <c r="CW29" s="26">
        <v>22.5</v>
      </c>
      <c r="CX29" s="27">
        <v>2.62</v>
      </c>
      <c r="CY29" s="28">
        <v>95.1</v>
      </c>
      <c r="CZ29" s="72">
        <v>93</v>
      </c>
      <c r="DA29" s="74">
        <v>51492</v>
      </c>
      <c r="DB29" s="75">
        <v>51492</v>
      </c>
      <c r="DC29" s="75">
        <v>46992</v>
      </c>
      <c r="DD29" s="75">
        <v>52178</v>
      </c>
      <c r="DE29" s="76">
        <v>55087</v>
      </c>
      <c r="DF29" s="75">
        <v>50157</v>
      </c>
    </row>
    <row r="30" spans="1:110">
      <c r="A30" s="3" t="s">
        <v>721</v>
      </c>
      <c r="B30" s="3" t="s">
        <v>722</v>
      </c>
      <c r="C30" s="3">
        <v>22</v>
      </c>
      <c r="D30" s="3" t="s">
        <v>664</v>
      </c>
      <c r="E30" s="12">
        <v>10.298130962741586</v>
      </c>
      <c r="F30" s="12">
        <v>261678</v>
      </c>
      <c r="G30" s="12">
        <v>479473</v>
      </c>
      <c r="H30" s="12">
        <v>476503</v>
      </c>
      <c r="I30" s="12">
        <v>495419</v>
      </c>
      <c r="J30" s="12">
        <v>594920</v>
      </c>
      <c r="K30" s="12">
        <v>671988</v>
      </c>
      <c r="L30" s="12">
        <v>804457</v>
      </c>
      <c r="M30" s="55">
        <v>495419</v>
      </c>
      <c r="N30" s="55">
        <v>505369.1</v>
      </c>
      <c r="O30" s="55">
        <v>515319.2</v>
      </c>
      <c r="P30" s="55">
        <v>525269.30000000005</v>
      </c>
      <c r="Q30" s="55">
        <v>535219.4</v>
      </c>
      <c r="R30" s="55">
        <v>545169.5</v>
      </c>
      <c r="S30" s="55">
        <v>555119.6</v>
      </c>
      <c r="T30" s="55">
        <v>565069.69999999995</v>
      </c>
      <c r="U30" s="55">
        <v>575019.80000000005</v>
      </c>
      <c r="V30" s="55">
        <v>584969.9</v>
      </c>
      <c r="W30" s="55">
        <v>594920</v>
      </c>
      <c r="X30" s="55">
        <v>601926.18000000005</v>
      </c>
      <c r="Y30" s="55">
        <v>608932.36</v>
      </c>
      <c r="Z30" s="55">
        <v>615938.55000000005</v>
      </c>
      <c r="AA30" s="55">
        <v>622944.73</v>
      </c>
      <c r="AB30" s="55">
        <v>629950.91</v>
      </c>
      <c r="AC30" s="55">
        <v>636957.09</v>
      </c>
      <c r="AD30" s="55">
        <v>643963.27</v>
      </c>
      <c r="AE30" s="55">
        <v>650969.44999999995</v>
      </c>
      <c r="AF30" s="55">
        <v>657975.64</v>
      </c>
      <c r="AG30" s="55">
        <v>664981.81999999995</v>
      </c>
      <c r="AH30" s="55">
        <v>671988</v>
      </c>
      <c r="AI30" s="55">
        <v>685682.6</v>
      </c>
      <c r="AJ30" s="55">
        <v>699377.2</v>
      </c>
      <c r="AK30" s="55">
        <v>713071.8</v>
      </c>
      <c r="AL30" s="55">
        <v>726766.4</v>
      </c>
      <c r="AM30" s="55">
        <v>740461</v>
      </c>
      <c r="AN30" s="55">
        <v>754155.6</v>
      </c>
      <c r="AO30" s="55">
        <v>767850.2</v>
      </c>
      <c r="AP30" s="55">
        <v>781544.8</v>
      </c>
      <c r="AQ30" s="55">
        <v>795239.4</v>
      </c>
      <c r="AR30" s="55">
        <v>808934</v>
      </c>
      <c r="AS30" s="55">
        <v>817227.22</v>
      </c>
      <c r="AT30" s="55">
        <v>825520.44</v>
      </c>
      <c r="AU30" s="55">
        <v>833813.67</v>
      </c>
      <c r="AV30" s="55">
        <v>842106.89</v>
      </c>
      <c r="AW30" s="55">
        <v>850400.11</v>
      </c>
      <c r="AX30" s="55">
        <v>858693.33</v>
      </c>
      <c r="AY30" s="55">
        <v>866986.56</v>
      </c>
      <c r="AZ30" s="55">
        <v>875279.78</v>
      </c>
      <c r="BA30" s="55">
        <v>883573</v>
      </c>
      <c r="BB30" s="55">
        <v>892738</v>
      </c>
      <c r="BC30" s="12">
        <v>902063</v>
      </c>
      <c r="BD30" s="212">
        <v>908268</v>
      </c>
      <c r="BE30" s="212">
        <v>918147</v>
      </c>
      <c r="BF30" s="12">
        <v>476503</v>
      </c>
      <c r="BG30" s="12">
        <v>478361.63451101934</v>
      </c>
      <c r="BH30" s="12">
        <v>480227.51876075083</v>
      </c>
      <c r="BI30" s="12">
        <v>482100.68102732609</v>
      </c>
      <c r="BJ30" s="12">
        <v>483981.14969917771</v>
      </c>
      <c r="BK30" s="12">
        <v>485868.95327546936</v>
      </c>
      <c r="BL30" s="12">
        <v>487764.12036652782</v>
      </c>
      <c r="BM30" s="12">
        <v>489666.67969427648</v>
      </c>
      <c r="BN30" s="12">
        <v>491576.66009267065</v>
      </c>
      <c r="BO30" s="12">
        <v>493494.09050813469</v>
      </c>
      <c r="BP30" s="12">
        <v>495419</v>
      </c>
      <c r="BQ30" s="12">
        <v>504569.79570690502</v>
      </c>
      <c r="BR30" s="12">
        <v>513889.61412401998</v>
      </c>
      <c r="BS30" s="12">
        <v>523381.57723958307</v>
      </c>
      <c r="BT30" s="12">
        <v>533048.8647075186</v>
      </c>
      <c r="BU30" s="12">
        <v>542894.7149125695</v>
      </c>
      <c r="BV30" s="12">
        <v>552922.42605510412</v>
      </c>
      <c r="BW30" s="12">
        <v>563135.35725595942</v>
      </c>
      <c r="BX30" s="12">
        <v>573536.92968169251</v>
      </c>
      <c r="BY30" s="12">
        <v>584130.62769061571</v>
      </c>
      <c r="BZ30" s="12">
        <v>594920</v>
      </c>
      <c r="CA30" s="12">
        <v>601544.73253353219</v>
      </c>
      <c r="CB30" s="12">
        <v>608243.23478591873</v>
      </c>
      <c r="CC30" s="12">
        <v>615016.32821997232</v>
      </c>
      <c r="CD30" s="12">
        <v>621864.84344590583</v>
      </c>
      <c r="CE30" s="12">
        <v>628789.62032319349</v>
      </c>
      <c r="CF30" s="12">
        <v>635791.50806356606</v>
      </c>
      <c r="CG30" s="12">
        <v>642871.36533515248</v>
      </c>
      <c r="CH30" s="12">
        <v>650030.06036778213</v>
      </c>
      <c r="CI30" s="12">
        <v>657268.47105945891</v>
      </c>
      <c r="CJ30" s="12">
        <v>664587.48508402111</v>
      </c>
      <c r="CK30" s="12">
        <v>671988</v>
      </c>
      <c r="CL30" s="12">
        <v>684348.8840563941</v>
      </c>
      <c r="CM30" s="12">
        <v>696937.14040910255</v>
      </c>
      <c r="CN30" s="12">
        <v>709756.9514580972</v>
      </c>
      <c r="CO30" s="12">
        <v>722812.5765365113</v>
      </c>
      <c r="CP30" s="12">
        <v>736108.3533257863</v>
      </c>
      <c r="CQ30" s="24">
        <v>749648.69929685013</v>
      </c>
      <c r="CR30" s="24">
        <v>763438.11317780497</v>
      </c>
      <c r="CS30" s="24">
        <v>777481.17644861212</v>
      </c>
      <c r="CT30" s="24">
        <v>791782.55486327165</v>
      </c>
      <c r="CU30" s="24">
        <v>806347</v>
      </c>
      <c r="CV30" s="25">
        <v>4.9000000000000004</v>
      </c>
      <c r="CW30" s="26">
        <v>5.9</v>
      </c>
      <c r="CX30" s="27">
        <v>3.44</v>
      </c>
      <c r="CY30" s="28">
        <v>100.1</v>
      </c>
      <c r="CZ30" s="72">
        <v>85.4</v>
      </c>
      <c r="DA30" s="74">
        <v>16916</v>
      </c>
      <c r="DB30" s="75">
        <v>16916</v>
      </c>
      <c r="DC30" s="75">
        <v>16918</v>
      </c>
      <c r="DD30" s="75">
        <v>15378</v>
      </c>
      <c r="DE30" s="76">
        <v>16144</v>
      </c>
      <c r="DF30" s="75">
        <v>16682</v>
      </c>
    </row>
    <row r="31" spans="1:110">
      <c r="A31" s="3" t="s">
        <v>723</v>
      </c>
      <c r="B31" s="3" t="s">
        <v>724</v>
      </c>
      <c r="C31" s="3">
        <v>23</v>
      </c>
      <c r="D31" s="3" t="s">
        <v>541</v>
      </c>
      <c r="E31" s="12">
        <v>10.629888759370717</v>
      </c>
      <c r="F31" s="12">
        <v>2504</v>
      </c>
      <c r="G31" s="12">
        <v>5045</v>
      </c>
      <c r="H31" s="12">
        <v>11209</v>
      </c>
      <c r="I31" s="12">
        <v>15658</v>
      </c>
      <c r="J31" s="13" t="s">
        <v>568</v>
      </c>
      <c r="K31" s="12">
        <v>69369</v>
      </c>
      <c r="L31" s="12">
        <v>101079</v>
      </c>
      <c r="M31" s="55">
        <v>15658</v>
      </c>
      <c r="N31" s="55">
        <v>16828</v>
      </c>
      <c r="O31" s="55">
        <v>17998</v>
      </c>
      <c r="P31" s="55">
        <v>19168</v>
      </c>
      <c r="Q31" s="55">
        <v>20338</v>
      </c>
      <c r="R31" s="55">
        <v>21508</v>
      </c>
      <c r="S31" s="55">
        <v>22678</v>
      </c>
      <c r="T31" s="55">
        <v>23848</v>
      </c>
      <c r="U31" s="55">
        <v>25018</v>
      </c>
      <c r="V31" s="55">
        <v>26188</v>
      </c>
      <c r="W31" s="55">
        <v>27358</v>
      </c>
      <c r="X31" s="55">
        <v>31177.182000000001</v>
      </c>
      <c r="Y31" s="55">
        <v>34996.364000000001</v>
      </c>
      <c r="Z31" s="55">
        <v>38815.544999999998</v>
      </c>
      <c r="AA31" s="55">
        <v>42634.726999999999</v>
      </c>
      <c r="AB31" s="55">
        <v>46453.909</v>
      </c>
      <c r="AC31" s="55">
        <v>50273.091</v>
      </c>
      <c r="AD31" s="55">
        <v>54092.273000000001</v>
      </c>
      <c r="AE31" s="55">
        <v>57911.455000000002</v>
      </c>
      <c r="AF31" s="55">
        <v>61730.635999999999</v>
      </c>
      <c r="AG31" s="55">
        <v>65549.817999999999</v>
      </c>
      <c r="AH31" s="55">
        <v>69369</v>
      </c>
      <c r="AI31" s="55">
        <v>72556.800000000003</v>
      </c>
      <c r="AJ31" s="55">
        <v>75744.600000000006</v>
      </c>
      <c r="AK31" s="55">
        <v>78932.399999999994</v>
      </c>
      <c r="AL31" s="55">
        <v>82120.2</v>
      </c>
      <c r="AM31" s="55">
        <v>85308</v>
      </c>
      <c r="AN31" s="55">
        <v>88495.8</v>
      </c>
      <c r="AO31" s="55">
        <v>91683.6</v>
      </c>
      <c r="AP31" s="55">
        <v>94871.4</v>
      </c>
      <c r="AQ31" s="55">
        <v>98059.199999999997</v>
      </c>
      <c r="AR31" s="55">
        <v>101247</v>
      </c>
      <c r="AS31" s="55">
        <v>104852.22</v>
      </c>
      <c r="AT31" s="55">
        <v>108457.44</v>
      </c>
      <c r="AU31" s="55">
        <v>112062.67</v>
      </c>
      <c r="AV31" s="55">
        <v>115667.89</v>
      </c>
      <c r="AW31" s="55">
        <v>119273.11</v>
      </c>
      <c r="AX31" s="55">
        <v>122878.33</v>
      </c>
      <c r="AY31" s="55">
        <v>126483.56</v>
      </c>
      <c r="AZ31" s="55">
        <v>130088.78</v>
      </c>
      <c r="BA31" s="55">
        <v>133694</v>
      </c>
      <c r="BB31" s="55">
        <v>137483</v>
      </c>
      <c r="BC31" s="12">
        <v>141303</v>
      </c>
      <c r="BD31" s="212">
        <v>143987</v>
      </c>
      <c r="BE31" s="212">
        <v>148143</v>
      </c>
      <c r="BF31" s="12">
        <v>11209</v>
      </c>
      <c r="BG31" s="12">
        <v>11590.010011816907</v>
      </c>
      <c r="BH31" s="12">
        <v>11983.971101259356</v>
      </c>
      <c r="BI31" s="12">
        <v>12391.323494060167</v>
      </c>
      <c r="BJ31" s="12">
        <v>12812.522379857202</v>
      </c>
      <c r="BK31" s="12">
        <v>13248.038420838</v>
      </c>
      <c r="BL31" s="12">
        <v>13698.358277673964</v>
      </c>
      <c r="BM31" s="12">
        <v>14163.985153331807</v>
      </c>
      <c r="BN31" s="12">
        <v>14645.439355369939</v>
      </c>
      <c r="BO31" s="12">
        <v>15143.258877348107</v>
      </c>
      <c r="BP31" s="12">
        <v>15658</v>
      </c>
      <c r="BQ31" s="12">
        <v>16675.757607194617</v>
      </c>
      <c r="BR31" s="12">
        <v>17759.668653334342</v>
      </c>
      <c r="BS31" s="12">
        <v>18914.033059592282</v>
      </c>
      <c r="BT31" s="12">
        <v>20143.430238614543</v>
      </c>
      <c r="BU31" s="12">
        <v>21452.737261244765</v>
      </c>
      <c r="BV31" s="12">
        <v>22847.148204071389</v>
      </c>
      <c r="BW31" s="12">
        <v>24332.194754550153</v>
      </c>
      <c r="BX31" s="12">
        <v>25913.768155443267</v>
      </c>
      <c r="BY31" s="12">
        <v>27598.142575629754</v>
      </c>
      <c r="BZ31" s="12">
        <v>29392</v>
      </c>
      <c r="CA31" s="12">
        <v>31778.430090521641</v>
      </c>
      <c r="CB31" s="12">
        <v>34358.622040629125</v>
      </c>
      <c r="CC31" s="12">
        <v>37148.307992813985</v>
      </c>
      <c r="CD31" s="12">
        <v>40164.497432321907</v>
      </c>
      <c r="CE31" s="12">
        <v>43425.580898679153</v>
      </c>
      <c r="CF31" s="12">
        <v>46951.442117888109</v>
      </c>
      <c r="CG31" s="12">
        <v>50763.579238992941</v>
      </c>
      <c r="CH31" s="12">
        <v>54885.23591422812</v>
      </c>
      <c r="CI31" s="12">
        <v>59341.543021981692</v>
      </c>
      <c r="CJ31" s="12">
        <v>64159.671896697313</v>
      </c>
      <c r="CK31" s="12">
        <v>69369</v>
      </c>
      <c r="CL31" s="12">
        <v>72021.775697640929</v>
      </c>
      <c r="CM31" s="12">
        <v>74775.997558582385</v>
      </c>
      <c r="CN31" s="12">
        <v>77635.545037863689</v>
      </c>
      <c r="CO31" s="12">
        <v>80604.445946764667</v>
      </c>
      <c r="CP31" s="12">
        <v>83686.882126173179</v>
      </c>
      <c r="CQ31" s="24">
        <v>86887.195336910721</v>
      </c>
      <c r="CR31" s="24">
        <v>90209.893375313128</v>
      </c>
      <c r="CS31" s="24">
        <v>93659.656422680244</v>
      </c>
      <c r="CT31" s="24">
        <v>97241.343637538244</v>
      </c>
      <c r="CU31" s="24">
        <v>100960</v>
      </c>
      <c r="CV31" s="25">
        <v>3.2</v>
      </c>
      <c r="CW31" s="26">
        <v>4.7</v>
      </c>
      <c r="CX31" s="27">
        <v>3.25</v>
      </c>
      <c r="CY31" s="28">
        <v>112.6</v>
      </c>
      <c r="CZ31" s="72">
        <v>81.2</v>
      </c>
      <c r="DA31" s="74">
        <v>705</v>
      </c>
      <c r="DB31" s="75">
        <v>705</v>
      </c>
      <c r="DC31" s="75">
        <v>1431</v>
      </c>
      <c r="DD31" s="75">
        <v>2262</v>
      </c>
      <c r="DE31" s="76">
        <v>2157</v>
      </c>
      <c r="DF31" s="75">
        <v>2361</v>
      </c>
    </row>
    <row r="32" spans="1:110">
      <c r="A32" s="3" t="s">
        <v>725</v>
      </c>
      <c r="B32" s="3" t="s">
        <v>726</v>
      </c>
      <c r="C32" s="3">
        <v>24</v>
      </c>
      <c r="D32" s="3" t="s">
        <v>664</v>
      </c>
      <c r="E32" s="12">
        <v>9.8343926260287109</v>
      </c>
      <c r="F32" s="12">
        <v>332933</v>
      </c>
      <c r="G32" s="12">
        <v>593371</v>
      </c>
      <c r="H32" s="12">
        <v>773972</v>
      </c>
      <c r="I32" s="12">
        <v>765962</v>
      </c>
      <c r="J32" s="12">
        <v>972655</v>
      </c>
      <c r="K32" s="12">
        <v>1142105</v>
      </c>
      <c r="L32" s="12">
        <v>1338523</v>
      </c>
      <c r="M32" s="55">
        <v>765962</v>
      </c>
      <c r="N32" s="55">
        <v>786631.3</v>
      </c>
      <c r="O32" s="55">
        <v>807300.6</v>
      </c>
      <c r="P32" s="55">
        <v>827969.9</v>
      </c>
      <c r="Q32" s="55">
        <v>848639.2</v>
      </c>
      <c r="R32" s="55">
        <v>869308.5</v>
      </c>
      <c r="S32" s="55">
        <v>889977.8</v>
      </c>
      <c r="T32" s="55">
        <v>910647.1</v>
      </c>
      <c r="U32" s="55">
        <v>931316.4</v>
      </c>
      <c r="V32" s="55">
        <v>951985.7</v>
      </c>
      <c r="W32" s="55">
        <v>972655</v>
      </c>
      <c r="X32" s="55">
        <v>988059.55</v>
      </c>
      <c r="Y32" s="55">
        <v>1003464.1</v>
      </c>
      <c r="Z32" s="55">
        <v>1018868.6</v>
      </c>
      <c r="AA32" s="55">
        <v>1034273.2</v>
      </c>
      <c r="AB32" s="55">
        <v>1049677.7</v>
      </c>
      <c r="AC32" s="55">
        <v>1065082.3</v>
      </c>
      <c r="AD32" s="55">
        <v>1080486.8</v>
      </c>
      <c r="AE32" s="55">
        <v>1095891.3999999999</v>
      </c>
      <c r="AF32" s="55">
        <v>1111295.8999999999</v>
      </c>
      <c r="AG32" s="55">
        <v>1126700.5</v>
      </c>
      <c r="AH32" s="55">
        <v>1142105</v>
      </c>
      <c r="AI32" s="55">
        <v>1163248.6000000001</v>
      </c>
      <c r="AJ32" s="55">
        <v>1184392.2</v>
      </c>
      <c r="AK32" s="55">
        <v>1205535.8</v>
      </c>
      <c r="AL32" s="55">
        <v>1226679.3999999999</v>
      </c>
      <c r="AM32" s="55">
        <v>1247823</v>
      </c>
      <c r="AN32" s="55">
        <v>1268966.6000000001</v>
      </c>
      <c r="AO32" s="55">
        <v>1290110.2</v>
      </c>
      <c r="AP32" s="55">
        <v>1311253.8</v>
      </c>
      <c r="AQ32" s="55">
        <v>1332397.3999999999</v>
      </c>
      <c r="AR32" s="55">
        <v>1353541</v>
      </c>
      <c r="AS32" s="55">
        <v>1371093.8</v>
      </c>
      <c r="AT32" s="55">
        <v>1388646.6</v>
      </c>
      <c r="AU32" s="55">
        <v>1406199.3</v>
      </c>
      <c r="AV32" s="55">
        <v>1423752.1</v>
      </c>
      <c r="AW32" s="55">
        <v>1441304.9</v>
      </c>
      <c r="AX32" s="55">
        <v>1458857.7</v>
      </c>
      <c r="AY32" s="55">
        <v>1476410.4</v>
      </c>
      <c r="AZ32" s="55">
        <v>1493963.2</v>
      </c>
      <c r="BA32" s="55">
        <v>1511516</v>
      </c>
      <c r="BB32" s="55">
        <v>1529525</v>
      </c>
      <c r="BC32" s="12">
        <v>1547595</v>
      </c>
      <c r="BD32" s="212">
        <v>1551460</v>
      </c>
      <c r="BE32" s="212">
        <v>1572205</v>
      </c>
      <c r="BF32" s="12">
        <v>773972</v>
      </c>
      <c r="BG32" s="12">
        <v>773167.24499099271</v>
      </c>
      <c r="BH32" s="12">
        <v>772363.32674432895</v>
      </c>
      <c r="BI32" s="12">
        <v>771560.24438996601</v>
      </c>
      <c r="BJ32" s="12">
        <v>770757.99705876573</v>
      </c>
      <c r="BK32" s="12">
        <v>769956.5838824939</v>
      </c>
      <c r="BL32" s="12">
        <v>769156.00399381889</v>
      </c>
      <c r="BM32" s="12">
        <v>768356.25652631093</v>
      </c>
      <c r="BN32" s="12">
        <v>767557.3406144412</v>
      </c>
      <c r="BO32" s="12">
        <v>766759.25539358077</v>
      </c>
      <c r="BP32" s="12">
        <v>765962</v>
      </c>
      <c r="BQ32" s="12">
        <v>784480.91848473251</v>
      </c>
      <c r="BR32" s="12">
        <v>803447.5750319853</v>
      </c>
      <c r="BS32" s="12">
        <v>822872.79475407768</v>
      </c>
      <c r="BT32" s="12">
        <v>842767.66448567633</v>
      </c>
      <c r="BU32" s="12">
        <v>863143.53911154368</v>
      </c>
      <c r="BV32" s="12">
        <v>884012.04804727435</v>
      </c>
      <c r="BW32" s="12">
        <v>905385.10187671869</v>
      </c>
      <c r="BX32" s="12">
        <v>927274.89914988121</v>
      </c>
      <c r="BY32" s="12">
        <v>949693.93334517442</v>
      </c>
      <c r="BZ32" s="12">
        <v>972655</v>
      </c>
      <c r="CA32" s="12">
        <v>986959.83480183955</v>
      </c>
      <c r="CB32" s="12">
        <v>1001475.0507755313</v>
      </c>
      <c r="CC32" s="12">
        <v>1016203.7419964758</v>
      </c>
      <c r="CD32" s="12">
        <v>1031149.0480446335</v>
      </c>
      <c r="CE32" s="12">
        <v>1046314.1546737595</v>
      </c>
      <c r="CF32" s="12">
        <v>1061702.2944904822</v>
      </c>
      <c r="CG32" s="12">
        <v>1077316.7476433681</v>
      </c>
      <c r="CH32" s="12">
        <v>1093160.842522121</v>
      </c>
      <c r="CI32" s="12">
        <v>1109237.9564670641</v>
      </c>
      <c r="CJ32" s="12">
        <v>1125551.5164890569</v>
      </c>
      <c r="CK32" s="12">
        <v>1142105</v>
      </c>
      <c r="CL32" s="12">
        <v>1160212.8058738247</v>
      </c>
      <c r="CM32" s="12">
        <v>1178607.7067464141</v>
      </c>
      <c r="CN32" s="12">
        <v>1197294.2544413789</v>
      </c>
      <c r="CO32" s="12">
        <v>1216277.0729504216</v>
      </c>
      <c r="CP32" s="12">
        <v>1235560.8595775443</v>
      </c>
      <c r="CQ32" s="24">
        <v>1255150.3861013982</v>
      </c>
      <c r="CR32" s="24">
        <v>1275050.4999560614</v>
      </c>
      <c r="CS32" s="24">
        <v>1295266.1254305383</v>
      </c>
      <c r="CT32" s="24">
        <v>1315802.2648872759</v>
      </c>
      <c r="CU32" s="24">
        <v>1336664</v>
      </c>
      <c r="CV32" s="25">
        <v>50.7</v>
      </c>
      <c r="CW32" s="26">
        <v>59.3</v>
      </c>
      <c r="CX32" s="27">
        <v>2.77</v>
      </c>
      <c r="CY32" s="28">
        <v>96.6</v>
      </c>
      <c r="CZ32" s="72">
        <v>76.7</v>
      </c>
      <c r="DA32" s="74">
        <v>31354</v>
      </c>
      <c r="DB32" s="75">
        <v>31354</v>
      </c>
      <c r="DC32" s="75">
        <v>28239</v>
      </c>
      <c r="DD32" s="75">
        <v>29507</v>
      </c>
      <c r="DE32" s="76">
        <v>29664</v>
      </c>
      <c r="DF32" s="75">
        <v>26798</v>
      </c>
    </row>
    <row r="33" spans="1:110">
      <c r="E33" s="14">
        <v>10.715023416964982</v>
      </c>
      <c r="F33" s="14"/>
      <c r="G33" s="14"/>
      <c r="H33" s="14"/>
      <c r="I33" s="14"/>
      <c r="J33" s="14"/>
      <c r="K33" s="14"/>
      <c r="L33" s="14"/>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212"/>
      <c r="BE33" s="212"/>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24"/>
      <c r="CR33" s="24"/>
      <c r="CS33" s="24"/>
      <c r="CT33" s="24"/>
      <c r="CU33" s="24"/>
      <c r="CV33" s="25"/>
      <c r="CW33" s="25"/>
      <c r="CX33" s="11"/>
      <c r="CY33" s="28"/>
      <c r="CZ33" s="11"/>
      <c r="DA33" s="74"/>
      <c r="DB33" s="78"/>
      <c r="DC33" s="78"/>
      <c r="DD33" s="78"/>
      <c r="DE33" s="79"/>
      <c r="DF33" s="78"/>
    </row>
    <row r="34" spans="1:110">
      <c r="A34" s="3" t="s">
        <v>727</v>
      </c>
      <c r="E34" s="12">
        <v>4044911</v>
      </c>
      <c r="F34" s="12">
        <v>7903662</v>
      </c>
      <c r="G34" s="12">
        <v>15893811</v>
      </c>
      <c r="H34" s="12">
        <v>20013793</v>
      </c>
      <c r="I34" s="12">
        <v>23364431</v>
      </c>
      <c r="J34" s="12">
        <v>27949480</v>
      </c>
      <c r="K34" s="12">
        <v>32615528</v>
      </c>
      <c r="L34" s="12">
        <v>36260130</v>
      </c>
      <c r="M34" s="55">
        <v>23364431</v>
      </c>
      <c r="N34" s="55">
        <v>23822733</v>
      </c>
      <c r="O34" s="55">
        <v>24281034</v>
      </c>
      <c r="P34" s="55">
        <v>24739336</v>
      </c>
      <c r="Q34" s="55">
        <v>25197637</v>
      </c>
      <c r="R34" s="55">
        <v>25655939</v>
      </c>
      <c r="S34" s="55">
        <v>26114240</v>
      </c>
      <c r="T34" s="55">
        <v>26572542</v>
      </c>
      <c r="U34" s="55">
        <v>27030843</v>
      </c>
      <c r="V34" s="55">
        <v>27489145</v>
      </c>
      <c r="W34" s="55">
        <v>27947446</v>
      </c>
      <c r="X34" s="55">
        <v>28371817</v>
      </c>
      <c r="Y34" s="55">
        <v>28796188</v>
      </c>
      <c r="Z34" s="55">
        <v>29220559</v>
      </c>
      <c r="AA34" s="55">
        <v>29644930</v>
      </c>
      <c r="AB34" s="55">
        <v>30069301</v>
      </c>
      <c r="AC34" s="55">
        <v>30493673</v>
      </c>
      <c r="AD34" s="55">
        <v>30918044</v>
      </c>
      <c r="AE34" s="55">
        <v>31342415</v>
      </c>
      <c r="AF34" s="55">
        <v>31766786</v>
      </c>
      <c r="AG34" s="55">
        <v>32191157</v>
      </c>
      <c r="AH34" s="55">
        <v>32615528</v>
      </c>
      <c r="AI34" s="55">
        <v>33069595</v>
      </c>
      <c r="AJ34" s="55">
        <v>33523661</v>
      </c>
      <c r="AK34" s="55">
        <v>33977728</v>
      </c>
      <c r="AL34" s="55">
        <v>34431795</v>
      </c>
      <c r="AM34" s="55">
        <v>34885862</v>
      </c>
      <c r="AN34" s="55">
        <v>35339928</v>
      </c>
      <c r="AO34" s="55">
        <v>35793995</v>
      </c>
      <c r="AP34" s="55">
        <v>36248062</v>
      </c>
      <c r="AQ34" s="55">
        <v>36702128</v>
      </c>
      <c r="AR34" s="55">
        <v>37156195</v>
      </c>
      <c r="AS34" s="55">
        <v>37529835</v>
      </c>
      <c r="AT34" s="55">
        <v>37903474</v>
      </c>
      <c r="AU34" s="55">
        <v>38277114</v>
      </c>
      <c r="AV34" s="55">
        <v>38650753</v>
      </c>
      <c r="AW34" s="55">
        <v>39024393</v>
      </c>
      <c r="AX34" s="55">
        <v>39398032</v>
      </c>
      <c r="AY34" s="55">
        <v>39771672</v>
      </c>
      <c r="AZ34" s="55">
        <v>40145311</v>
      </c>
      <c r="BA34" s="55">
        <v>40518951</v>
      </c>
      <c r="BB34" s="55">
        <f>SUM(BB9:BB32)</f>
        <v>40900496</v>
      </c>
      <c r="BC34" s="55">
        <v>41281631</v>
      </c>
      <c r="BD34" s="212">
        <v>42202935</v>
      </c>
      <c r="BE34" s="212">
        <v>42669500</v>
      </c>
      <c r="BF34" s="12">
        <v>20013793</v>
      </c>
      <c r="BG34" s="12">
        <v>20315439.323449969</v>
      </c>
      <c r="BH34" s="12">
        <v>20624026.06619462</v>
      </c>
      <c r="BI34" s="12">
        <v>20939726.307785932</v>
      </c>
      <c r="BJ34" s="12">
        <v>21262717.671325862</v>
      </c>
      <c r="BK34" s="12">
        <v>21593182.448213607</v>
      </c>
      <c r="BL34" s="12">
        <v>21931307.726491764</v>
      </c>
      <c r="BM34" s="12">
        <v>22277285.522902042</v>
      </c>
      <c r="BN34" s="12">
        <v>22631312.918764386</v>
      </c>
      <c r="BO34" s="12">
        <v>22993592.199797139</v>
      </c>
      <c r="BP34" s="12">
        <v>23364331</v>
      </c>
      <c r="BQ34" s="12">
        <v>23778640.117880199</v>
      </c>
      <c r="BR34" s="12">
        <v>24202161.825547718</v>
      </c>
      <c r="BS34" s="12">
        <v>24635114.772165447</v>
      </c>
      <c r="BT34" s="12">
        <v>25077723.361993447</v>
      </c>
      <c r="BU34" s="12">
        <v>25530217.927064411</v>
      </c>
      <c r="BV34" s="12">
        <v>25992834.905891016</v>
      </c>
      <c r="BW34" s="12">
        <v>26465817.028449822</v>
      </c>
      <c r="BX34" s="12">
        <v>26949413.507698581</v>
      </c>
      <c r="BY34" s="12">
        <v>27443880.237895265</v>
      </c>
      <c r="BZ34" s="12">
        <v>27949480</v>
      </c>
      <c r="CA34" s="12">
        <v>28337732.281283051</v>
      </c>
      <c r="CB34" s="12">
        <v>28732706.907019548</v>
      </c>
      <c r="CC34" s="12">
        <v>29134549.401799288</v>
      </c>
      <c r="CD34" s="12">
        <v>29543409.650682952</v>
      </c>
      <c r="CE34" s="12">
        <v>29959442.089669794</v>
      </c>
      <c r="CF34" s="12">
        <v>30382805.907385286</v>
      </c>
      <c r="CG34" s="12">
        <v>30813665.258771971</v>
      </c>
      <c r="CH34" s="12">
        <v>31252189.491626326</v>
      </c>
      <c r="CI34" s="12">
        <v>31698553.386888355</v>
      </c>
      <c r="CJ34" s="12">
        <v>32152937.413659632</v>
      </c>
      <c r="CK34" s="12">
        <v>32615528</v>
      </c>
      <c r="CL34" s="12">
        <v>32953153.253658418</v>
      </c>
      <c r="CM34" s="12">
        <v>33295880.670865688</v>
      </c>
      <c r="CN34" s="12">
        <v>33643790.303741947</v>
      </c>
      <c r="CO34" s="12">
        <v>33996963.730666064</v>
      </c>
      <c r="CP34" s="12">
        <v>34355484.088695109</v>
      </c>
      <c r="CQ34" s="24">
        <v>34719436.106758937</v>
      </c>
      <c r="CR34" s="24">
        <v>35088906.139650434</v>
      </c>
      <c r="CS34" s="24">
        <v>35463982.202832356</v>
      </c>
      <c r="CT34" s="24">
        <v>35844754.008082591</v>
      </c>
      <c r="CU34" s="24">
        <v>36231313</v>
      </c>
      <c r="CV34" s="25">
        <v>11.7</v>
      </c>
      <c r="CW34" s="26">
        <v>13</v>
      </c>
      <c r="CX34" s="11"/>
      <c r="CY34" s="28">
        <v>95.6</v>
      </c>
      <c r="CZ34" s="11"/>
      <c r="DA34" s="74">
        <v>697461</v>
      </c>
      <c r="DB34" s="75">
        <v>697461</v>
      </c>
      <c r="DC34" s="75">
        <v>678644</v>
      </c>
      <c r="DD34" s="75">
        <v>701878</v>
      </c>
      <c r="DE34" s="81">
        <v>736261</v>
      </c>
      <c r="DF34" s="75">
        <v>696451</v>
      </c>
    </row>
    <row r="35" spans="1:110" ht="308">
      <c r="A35" s="7" t="s">
        <v>728</v>
      </c>
      <c r="B35" s="7"/>
      <c r="C35" s="7"/>
      <c r="D35" s="7"/>
      <c r="E35" s="7" t="s">
        <v>892</v>
      </c>
      <c r="F35" s="7" t="s">
        <v>892</v>
      </c>
      <c r="G35" s="7" t="s">
        <v>892</v>
      </c>
      <c r="H35" s="7" t="s">
        <v>892</v>
      </c>
      <c r="I35" s="7" t="s">
        <v>892</v>
      </c>
      <c r="J35" s="7" t="s">
        <v>892</v>
      </c>
      <c r="K35" s="7" t="s">
        <v>892</v>
      </c>
      <c r="L35" s="7" t="s">
        <v>892</v>
      </c>
      <c r="M35" s="1" t="s">
        <v>448</v>
      </c>
      <c r="N35" s="1" t="s">
        <v>344</v>
      </c>
      <c r="O35" s="1" t="s">
        <v>344</v>
      </c>
      <c r="P35" s="1" t="s">
        <v>344</v>
      </c>
      <c r="Q35" s="1" t="s">
        <v>344</v>
      </c>
      <c r="R35" s="1" t="s">
        <v>344</v>
      </c>
      <c r="S35" s="1" t="s">
        <v>344</v>
      </c>
      <c r="T35" s="1" t="s">
        <v>344</v>
      </c>
      <c r="U35" s="1" t="s">
        <v>344</v>
      </c>
      <c r="V35" s="1" t="s">
        <v>344</v>
      </c>
      <c r="W35" s="1" t="s">
        <v>448</v>
      </c>
      <c r="X35" s="1" t="s">
        <v>291</v>
      </c>
      <c r="Y35" s="1" t="s">
        <v>291</v>
      </c>
      <c r="Z35" s="1" t="s">
        <v>291</v>
      </c>
      <c r="AA35" s="1" t="s">
        <v>291</v>
      </c>
      <c r="AB35" s="1" t="s">
        <v>291</v>
      </c>
      <c r="AC35" s="1" t="s">
        <v>291</v>
      </c>
      <c r="AD35" s="1" t="s">
        <v>291</v>
      </c>
      <c r="AE35" s="1" t="s">
        <v>291</v>
      </c>
      <c r="AF35" s="1" t="s">
        <v>291</v>
      </c>
      <c r="AG35" s="1" t="s">
        <v>291</v>
      </c>
      <c r="AH35" s="1" t="s">
        <v>448</v>
      </c>
      <c r="AI35" s="1" t="s">
        <v>294</v>
      </c>
      <c r="AJ35" s="1" t="s">
        <v>294</v>
      </c>
      <c r="AK35" s="1" t="s">
        <v>294</v>
      </c>
      <c r="AL35" s="1" t="s">
        <v>294</v>
      </c>
      <c r="AM35" s="1" t="s">
        <v>294</v>
      </c>
      <c r="AN35" s="1" t="s">
        <v>294</v>
      </c>
      <c r="AO35" s="1" t="s">
        <v>294</v>
      </c>
      <c r="AP35" s="1" t="s">
        <v>294</v>
      </c>
      <c r="AQ35" s="1" t="s">
        <v>294</v>
      </c>
      <c r="AR35" s="1" t="s">
        <v>448</v>
      </c>
      <c r="AS35" s="1" t="s">
        <v>436</v>
      </c>
      <c r="AT35" s="1" t="s">
        <v>436</v>
      </c>
      <c r="AU35" s="1" t="s">
        <v>436</v>
      </c>
      <c r="AV35" s="1" t="s">
        <v>436</v>
      </c>
      <c r="AW35" s="1" t="s">
        <v>436</v>
      </c>
      <c r="AX35" s="1" t="s">
        <v>436</v>
      </c>
      <c r="AY35" s="1" t="s">
        <v>436</v>
      </c>
      <c r="AZ35" s="1" t="s">
        <v>436</v>
      </c>
      <c r="BA35" s="1" t="s">
        <v>448</v>
      </c>
      <c r="BB35" s="7" t="s">
        <v>1867</v>
      </c>
      <c r="BC35" s="7" t="s">
        <v>3370</v>
      </c>
      <c r="BD35" s="7" t="s">
        <v>3371</v>
      </c>
      <c r="BE35" s="7" t="s">
        <v>3372</v>
      </c>
      <c r="BF35" s="7" t="s">
        <v>615</v>
      </c>
      <c r="BG35" s="7" t="s">
        <v>95</v>
      </c>
      <c r="BH35" s="7" t="s">
        <v>95</v>
      </c>
      <c r="BI35" s="7" t="s">
        <v>95</v>
      </c>
      <c r="BJ35" s="7" t="s">
        <v>95</v>
      </c>
      <c r="BK35" s="7" t="s">
        <v>95</v>
      </c>
      <c r="BL35" s="7" t="s">
        <v>95</v>
      </c>
      <c r="BM35" s="7" t="s">
        <v>95</v>
      </c>
      <c r="BN35" s="7" t="s">
        <v>95</v>
      </c>
      <c r="BO35" s="7" t="s">
        <v>95</v>
      </c>
      <c r="BP35" s="7" t="s">
        <v>95</v>
      </c>
      <c r="BQ35" s="7" t="s">
        <v>95</v>
      </c>
      <c r="BR35" s="7" t="s">
        <v>95</v>
      </c>
      <c r="BS35" s="7" t="s">
        <v>95</v>
      </c>
      <c r="BT35" s="7" t="s">
        <v>95</v>
      </c>
      <c r="BU35" s="7" t="s">
        <v>95</v>
      </c>
      <c r="BV35" s="7" t="s">
        <v>95</v>
      </c>
      <c r="BW35" s="7" t="s">
        <v>95</v>
      </c>
      <c r="BX35" s="7" t="s">
        <v>95</v>
      </c>
      <c r="BY35" s="7" t="s">
        <v>95</v>
      </c>
      <c r="BZ35" s="7" t="s">
        <v>95</v>
      </c>
      <c r="CA35" s="7" t="s">
        <v>95</v>
      </c>
      <c r="CB35" s="7" t="s">
        <v>95</v>
      </c>
      <c r="CC35" s="7" t="s">
        <v>95</v>
      </c>
      <c r="CD35" s="7" t="s">
        <v>95</v>
      </c>
      <c r="CE35" s="7" t="s">
        <v>95</v>
      </c>
      <c r="CF35" s="7" t="s">
        <v>95</v>
      </c>
      <c r="CG35" s="7" t="s">
        <v>95</v>
      </c>
      <c r="CH35" s="7" t="s">
        <v>95</v>
      </c>
      <c r="CI35" s="7" t="s">
        <v>95</v>
      </c>
      <c r="CJ35" s="7" t="s">
        <v>95</v>
      </c>
      <c r="CK35" s="7" t="s">
        <v>95</v>
      </c>
      <c r="CL35" s="7" t="s">
        <v>95</v>
      </c>
      <c r="CM35" s="7" t="s">
        <v>95</v>
      </c>
      <c r="CN35" s="7" t="s">
        <v>95</v>
      </c>
      <c r="CO35" s="7" t="s">
        <v>95</v>
      </c>
      <c r="CP35" s="7" t="s">
        <v>95</v>
      </c>
      <c r="CQ35" s="7" t="s">
        <v>95</v>
      </c>
      <c r="CR35" s="7" t="s">
        <v>95</v>
      </c>
      <c r="CS35" s="7" t="s">
        <v>95</v>
      </c>
      <c r="CT35" s="7" t="s">
        <v>95</v>
      </c>
      <c r="CU35" s="7" t="s">
        <v>615</v>
      </c>
      <c r="CV35" s="32" t="s">
        <v>1023</v>
      </c>
      <c r="CW35" s="7" t="s">
        <v>1019</v>
      </c>
      <c r="CX35" s="1" t="s">
        <v>609</v>
      </c>
      <c r="CY35" s="32" t="s">
        <v>1023</v>
      </c>
      <c r="CZ35" s="1" t="s">
        <v>609</v>
      </c>
      <c r="DA35" s="1" t="s">
        <v>1106</v>
      </c>
      <c r="DB35" s="1" t="s">
        <v>308</v>
      </c>
      <c r="DC35" s="1" t="s">
        <v>308</v>
      </c>
      <c r="DD35" s="1" t="s">
        <v>308</v>
      </c>
      <c r="DE35" s="1" t="s">
        <v>455</v>
      </c>
      <c r="DF35" s="1" t="s">
        <v>308</v>
      </c>
    </row>
    <row r="36" spans="1:110" ht="132">
      <c r="A36" s="7"/>
      <c r="B36" s="7"/>
      <c r="C36" s="7"/>
      <c r="D36" s="7"/>
      <c r="E36" s="7"/>
      <c r="F36" s="7"/>
      <c r="G36" s="7"/>
      <c r="H36" s="7"/>
      <c r="I36" s="7"/>
      <c r="J36" s="7"/>
      <c r="K36" s="7"/>
      <c r="L36" s="7"/>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7"/>
      <c r="BG36" s="7" t="s">
        <v>96</v>
      </c>
      <c r="BH36" s="7" t="s">
        <v>96</v>
      </c>
      <c r="BI36" s="7" t="s">
        <v>96</v>
      </c>
      <c r="BJ36" s="7" t="s">
        <v>96</v>
      </c>
      <c r="BK36" s="7" t="s">
        <v>96</v>
      </c>
      <c r="BL36" s="7" t="s">
        <v>96</v>
      </c>
      <c r="BM36" s="7" t="s">
        <v>96</v>
      </c>
      <c r="BN36" s="7" t="s">
        <v>96</v>
      </c>
      <c r="BO36" s="7" t="s">
        <v>96</v>
      </c>
      <c r="BP36" s="7" t="s">
        <v>96</v>
      </c>
      <c r="BQ36" s="7" t="s">
        <v>96</v>
      </c>
      <c r="BR36" s="7" t="s">
        <v>96</v>
      </c>
      <c r="BS36" s="7" t="s">
        <v>96</v>
      </c>
      <c r="BT36" s="7" t="s">
        <v>96</v>
      </c>
      <c r="BU36" s="7" t="s">
        <v>96</v>
      </c>
      <c r="BV36" s="7" t="s">
        <v>96</v>
      </c>
      <c r="BW36" s="7" t="s">
        <v>96</v>
      </c>
      <c r="BX36" s="7" t="s">
        <v>96</v>
      </c>
      <c r="BY36" s="7" t="s">
        <v>96</v>
      </c>
      <c r="BZ36" s="7" t="s">
        <v>96</v>
      </c>
      <c r="CA36" s="7" t="s">
        <v>96</v>
      </c>
      <c r="CB36" s="7" t="s">
        <v>96</v>
      </c>
      <c r="CC36" s="7" t="s">
        <v>96</v>
      </c>
      <c r="CD36" s="7" t="s">
        <v>96</v>
      </c>
      <c r="CE36" s="7" t="s">
        <v>96</v>
      </c>
      <c r="CF36" s="7" t="s">
        <v>96</v>
      </c>
      <c r="CG36" s="7" t="s">
        <v>96</v>
      </c>
      <c r="CH36" s="7" t="s">
        <v>96</v>
      </c>
      <c r="CI36" s="7" t="s">
        <v>96</v>
      </c>
      <c r="CJ36" s="7" t="s">
        <v>96</v>
      </c>
      <c r="CK36" s="7" t="s">
        <v>96</v>
      </c>
      <c r="CL36" s="7" t="s">
        <v>96</v>
      </c>
      <c r="CM36" s="7" t="s">
        <v>96</v>
      </c>
      <c r="CN36" s="7" t="s">
        <v>96</v>
      </c>
      <c r="CO36" s="7" t="s">
        <v>96</v>
      </c>
      <c r="CP36" s="7" t="s">
        <v>96</v>
      </c>
      <c r="CQ36" s="7" t="s">
        <v>96</v>
      </c>
      <c r="CR36" s="7" t="s">
        <v>96</v>
      </c>
      <c r="CS36" s="7" t="s">
        <v>96</v>
      </c>
      <c r="CT36" s="7" t="s">
        <v>96</v>
      </c>
      <c r="CU36" s="7"/>
      <c r="CV36" s="7"/>
      <c r="CW36" s="7"/>
      <c r="CX36" s="7"/>
      <c r="CY36" s="7"/>
      <c r="CZ36" s="7"/>
      <c r="DA36" s="7"/>
      <c r="DB36" s="7"/>
      <c r="DC36" s="7"/>
      <c r="DD36" s="7"/>
      <c r="DE36" s="7"/>
      <c r="DF36" s="7"/>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2"/>
  <sheetViews>
    <sheetView topLeftCell="AK1" workbookViewId="0">
      <selection activeCell="AU9" sqref="AU9:AU32"/>
    </sheetView>
  </sheetViews>
  <sheetFormatPr baseColWidth="10" defaultRowHeight="13" x14ac:dyDescent="0"/>
  <cols>
    <col min="1" max="1" width="17.140625" bestFit="1" customWidth="1"/>
    <col min="2" max="2" width="4.5703125" bestFit="1" customWidth="1"/>
    <col min="3" max="3" width="2.7109375" bestFit="1" customWidth="1"/>
    <col min="4" max="4" width="6.5703125" bestFit="1" customWidth="1"/>
    <col min="5" max="14" width="11.5703125" style="6" customWidth="1"/>
    <col min="15" max="19" width="11.5703125" customWidth="1"/>
  </cols>
  <sheetData>
    <row r="1" spans="1:49">
      <c r="A1" s="137" t="s">
        <v>2404</v>
      </c>
      <c r="B1" s="3"/>
      <c r="C1" s="3"/>
      <c r="D1" s="3"/>
    </row>
    <row r="2" spans="1:49">
      <c r="A2" s="1" t="s">
        <v>614</v>
      </c>
      <c r="B2" s="1"/>
      <c r="C2" s="1"/>
      <c r="D2" s="1"/>
      <c r="E2" s="2" t="s">
        <v>610</v>
      </c>
      <c r="F2" s="2" t="s">
        <v>610</v>
      </c>
      <c r="G2" s="2" t="s">
        <v>610</v>
      </c>
      <c r="H2" s="2" t="s">
        <v>610</v>
      </c>
      <c r="I2" s="2" t="s">
        <v>610</v>
      </c>
      <c r="J2" s="2" t="s">
        <v>610</v>
      </c>
      <c r="K2" s="2" t="s">
        <v>610</v>
      </c>
      <c r="L2" s="2" t="s">
        <v>610</v>
      </c>
      <c r="M2" s="2" t="s">
        <v>610</v>
      </c>
      <c r="N2" s="2" t="s">
        <v>610</v>
      </c>
      <c r="O2" s="2" t="s">
        <v>610</v>
      </c>
      <c r="P2" s="2" t="s">
        <v>610</v>
      </c>
      <c r="Q2" s="2" t="s">
        <v>610</v>
      </c>
      <c r="R2" s="2" t="s">
        <v>610</v>
      </c>
      <c r="S2" s="2" t="s">
        <v>610</v>
      </c>
      <c r="T2" s="2" t="s">
        <v>610</v>
      </c>
      <c r="U2" s="2" t="s">
        <v>610</v>
      </c>
      <c r="V2" s="2" t="s">
        <v>610</v>
      </c>
      <c r="W2" s="2" t="s">
        <v>610</v>
      </c>
      <c r="X2" s="2" t="s">
        <v>610</v>
      </c>
      <c r="Y2" s="2" t="s">
        <v>610</v>
      </c>
      <c r="Z2" s="2" t="s">
        <v>610</v>
      </c>
      <c r="AA2" s="2" t="s">
        <v>610</v>
      </c>
      <c r="AB2" s="2" t="s">
        <v>610</v>
      </c>
      <c r="AC2" s="2" t="s">
        <v>610</v>
      </c>
      <c r="AD2" s="2" t="s">
        <v>610</v>
      </c>
      <c r="AE2" s="2" t="s">
        <v>610</v>
      </c>
      <c r="AF2" s="2" t="s">
        <v>610</v>
      </c>
      <c r="AG2" s="2" t="s">
        <v>610</v>
      </c>
      <c r="AH2" s="2" t="s">
        <v>610</v>
      </c>
      <c r="AI2" s="2" t="s">
        <v>610</v>
      </c>
      <c r="AJ2" s="2" t="s">
        <v>610</v>
      </c>
      <c r="AK2" s="2" t="s">
        <v>610</v>
      </c>
      <c r="AL2" s="2" t="s">
        <v>610</v>
      </c>
      <c r="AM2" s="2" t="s">
        <v>610</v>
      </c>
      <c r="AN2" s="2" t="s">
        <v>610</v>
      </c>
      <c r="AO2" s="2" t="s">
        <v>610</v>
      </c>
      <c r="AP2" s="2" t="s">
        <v>610</v>
      </c>
      <c r="AQ2" s="2" t="s">
        <v>610</v>
      </c>
      <c r="AR2" s="2" t="s">
        <v>610</v>
      </c>
      <c r="AS2" s="2" t="s">
        <v>610</v>
      </c>
      <c r="AT2" s="2" t="s">
        <v>610</v>
      </c>
      <c r="AU2" s="2" t="s">
        <v>610</v>
      </c>
      <c r="AV2" s="2" t="s">
        <v>610</v>
      </c>
      <c r="AW2" s="2" t="s">
        <v>610</v>
      </c>
    </row>
    <row r="3" spans="1:49">
      <c r="A3" s="1" t="s">
        <v>518</v>
      </c>
      <c r="B3" s="1"/>
      <c r="C3" s="1"/>
      <c r="D3" s="1"/>
      <c r="E3" s="2" t="s">
        <v>3006</v>
      </c>
      <c r="F3" s="2" t="s">
        <v>3006</v>
      </c>
      <c r="G3" s="2" t="s">
        <v>3006</v>
      </c>
      <c r="H3" s="2" t="s">
        <v>3006</v>
      </c>
      <c r="I3" s="2" t="s">
        <v>3006</v>
      </c>
      <c r="J3" s="2" t="s">
        <v>3006</v>
      </c>
      <c r="K3" s="2" t="s">
        <v>3006</v>
      </c>
      <c r="L3" s="2" t="s">
        <v>3006</v>
      </c>
      <c r="M3" s="2" t="s">
        <v>3006</v>
      </c>
      <c r="N3" s="2" t="s">
        <v>3006</v>
      </c>
      <c r="O3" s="2" t="s">
        <v>3006</v>
      </c>
      <c r="P3" s="2" t="s">
        <v>3006</v>
      </c>
      <c r="Q3" s="2" t="s">
        <v>3006</v>
      </c>
      <c r="R3" s="2" t="s">
        <v>3006</v>
      </c>
      <c r="S3" s="2" t="s">
        <v>3006</v>
      </c>
      <c r="T3" s="2" t="s">
        <v>3006</v>
      </c>
      <c r="U3" s="2" t="s">
        <v>3006</v>
      </c>
      <c r="V3" s="2" t="s">
        <v>3006</v>
      </c>
      <c r="W3" s="2" t="s">
        <v>3006</v>
      </c>
      <c r="X3" s="2" t="s">
        <v>3006</v>
      </c>
      <c r="Y3" s="2" t="s">
        <v>3006</v>
      </c>
      <c r="Z3" s="2" t="s">
        <v>3006</v>
      </c>
      <c r="AA3" s="2" t="s">
        <v>3006</v>
      </c>
      <c r="AB3" s="2" t="s">
        <v>3006</v>
      </c>
      <c r="AC3" s="2" t="s">
        <v>3006</v>
      </c>
      <c r="AD3" s="2" t="s">
        <v>3006</v>
      </c>
      <c r="AE3" s="2" t="s">
        <v>3006</v>
      </c>
      <c r="AF3" s="2" t="s">
        <v>3006</v>
      </c>
      <c r="AG3" s="2" t="s">
        <v>3006</v>
      </c>
      <c r="AH3" s="2" t="s">
        <v>3006</v>
      </c>
      <c r="AI3" s="2" t="s">
        <v>3006</v>
      </c>
      <c r="AJ3" s="2" t="s">
        <v>3006</v>
      </c>
      <c r="AK3" s="2" t="s">
        <v>3006</v>
      </c>
      <c r="AL3" s="2" t="s">
        <v>3006</v>
      </c>
      <c r="AM3" s="2" t="s">
        <v>3006</v>
      </c>
      <c r="AN3" s="2" t="s">
        <v>3006</v>
      </c>
      <c r="AO3" s="2" t="s">
        <v>3006</v>
      </c>
      <c r="AP3" s="2" t="s">
        <v>3006</v>
      </c>
      <c r="AQ3" s="2" t="s">
        <v>3006</v>
      </c>
      <c r="AR3" s="2" t="s">
        <v>3006</v>
      </c>
      <c r="AS3" s="2" t="s">
        <v>3006</v>
      </c>
      <c r="AT3" s="2" t="s">
        <v>3006</v>
      </c>
      <c r="AU3" s="2" t="s">
        <v>3006</v>
      </c>
      <c r="AV3" s="2" t="s">
        <v>3006</v>
      </c>
      <c r="AW3" s="2" t="s">
        <v>3006</v>
      </c>
    </row>
    <row r="4" spans="1:49">
      <c r="A4" s="1" t="s">
        <v>736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c r="A5" s="1" t="s">
        <v>737</v>
      </c>
      <c r="B5" s="1"/>
      <c r="C5" s="1"/>
      <c r="D5" s="1"/>
      <c r="E5" s="1" t="s">
        <v>138</v>
      </c>
      <c r="F5" s="1" t="s">
        <v>138</v>
      </c>
      <c r="G5" s="1" t="s">
        <v>138</v>
      </c>
      <c r="H5" s="1" t="s">
        <v>138</v>
      </c>
      <c r="I5" s="1" t="s">
        <v>138</v>
      </c>
      <c r="J5" s="1" t="s">
        <v>138</v>
      </c>
      <c r="K5" s="1" t="s">
        <v>138</v>
      </c>
      <c r="L5" s="1" t="s">
        <v>138</v>
      </c>
      <c r="M5" s="1" t="s">
        <v>138</v>
      </c>
      <c r="N5" s="1" t="s">
        <v>138</v>
      </c>
      <c r="O5" s="1" t="s">
        <v>138</v>
      </c>
      <c r="P5" s="1" t="s">
        <v>138</v>
      </c>
      <c r="Q5" s="1" t="s">
        <v>138</v>
      </c>
      <c r="R5" s="1" t="s">
        <v>138</v>
      </c>
      <c r="S5" s="1" t="s">
        <v>138</v>
      </c>
      <c r="T5" s="1" t="s">
        <v>138</v>
      </c>
      <c r="U5" s="1" t="s">
        <v>138</v>
      </c>
      <c r="V5" s="1" t="s">
        <v>138</v>
      </c>
      <c r="W5" s="1" t="s">
        <v>138</v>
      </c>
      <c r="X5" s="1" t="s">
        <v>138</v>
      </c>
      <c r="Y5" s="1" t="s">
        <v>138</v>
      </c>
      <c r="Z5" s="1" t="s">
        <v>138</v>
      </c>
      <c r="AA5" s="1" t="s">
        <v>138</v>
      </c>
      <c r="AB5" s="1" t="s">
        <v>138</v>
      </c>
      <c r="AC5" s="1" t="s">
        <v>138</v>
      </c>
      <c r="AD5" s="1" t="s">
        <v>138</v>
      </c>
      <c r="AE5" s="1" t="s">
        <v>138</v>
      </c>
      <c r="AF5" s="1" t="s">
        <v>138</v>
      </c>
      <c r="AG5" s="1" t="s">
        <v>138</v>
      </c>
      <c r="AH5" s="1" t="s">
        <v>138</v>
      </c>
      <c r="AI5" s="1" t="s">
        <v>138</v>
      </c>
      <c r="AJ5" s="1" t="s">
        <v>138</v>
      </c>
      <c r="AK5" s="1" t="s">
        <v>138</v>
      </c>
      <c r="AL5" s="1" t="s">
        <v>138</v>
      </c>
      <c r="AM5" s="1" t="s">
        <v>138</v>
      </c>
      <c r="AN5" s="1" t="s">
        <v>138</v>
      </c>
      <c r="AO5" s="1" t="s">
        <v>138</v>
      </c>
      <c r="AP5" s="1" t="s">
        <v>138</v>
      </c>
      <c r="AQ5" s="1" t="s">
        <v>138</v>
      </c>
      <c r="AR5" s="1" t="s">
        <v>138</v>
      </c>
      <c r="AS5" s="1" t="s">
        <v>138</v>
      </c>
      <c r="AT5" s="1" t="s">
        <v>138</v>
      </c>
      <c r="AU5" s="1" t="s">
        <v>138</v>
      </c>
      <c r="AV5" s="1" t="s">
        <v>138</v>
      </c>
      <c r="AW5" s="1" t="s">
        <v>138</v>
      </c>
    </row>
    <row r="6" spans="1:49" s="201" customFormat="1" ht="12">
      <c r="A6" s="42" t="s">
        <v>560</v>
      </c>
      <c r="B6" s="42"/>
      <c r="C6" s="42"/>
      <c r="D6" s="42"/>
      <c r="E6" s="205">
        <v>1970</v>
      </c>
      <c r="F6" s="205">
        <v>1971</v>
      </c>
      <c r="G6" s="205">
        <v>1972</v>
      </c>
      <c r="H6" s="205">
        <v>1973</v>
      </c>
      <c r="I6" s="205">
        <v>1974</v>
      </c>
      <c r="J6" s="205">
        <v>1975</v>
      </c>
      <c r="K6" s="205">
        <v>1976</v>
      </c>
      <c r="L6" s="205">
        <v>1977</v>
      </c>
      <c r="M6" s="205">
        <v>1978</v>
      </c>
      <c r="N6" s="205">
        <v>1979</v>
      </c>
      <c r="O6" s="205">
        <v>1980</v>
      </c>
      <c r="P6" s="205">
        <v>1981</v>
      </c>
      <c r="Q6" s="205">
        <v>1982</v>
      </c>
      <c r="R6" s="205">
        <v>1983</v>
      </c>
      <c r="S6" s="205">
        <v>1984</v>
      </c>
      <c r="T6" s="205">
        <v>1985</v>
      </c>
      <c r="U6" s="205">
        <v>1986</v>
      </c>
      <c r="V6" s="205">
        <v>1987</v>
      </c>
      <c r="W6" s="205">
        <v>1988</v>
      </c>
      <c r="X6" s="205">
        <v>1989</v>
      </c>
      <c r="Y6" s="205">
        <v>1990</v>
      </c>
      <c r="Z6" s="205">
        <v>1991</v>
      </c>
      <c r="AA6" s="205">
        <v>1992</v>
      </c>
      <c r="AB6" s="205">
        <v>1993</v>
      </c>
      <c r="AC6" s="205">
        <v>1994</v>
      </c>
      <c r="AD6" s="205">
        <v>1995</v>
      </c>
      <c r="AE6" s="205">
        <v>1996</v>
      </c>
      <c r="AF6" s="205">
        <v>1997</v>
      </c>
      <c r="AG6" s="205">
        <v>1998</v>
      </c>
      <c r="AH6" s="205">
        <v>1999</v>
      </c>
      <c r="AI6" s="205">
        <v>2000</v>
      </c>
      <c r="AJ6" s="205">
        <v>2001</v>
      </c>
      <c r="AK6" s="205">
        <v>2002</v>
      </c>
      <c r="AL6" s="205">
        <v>2003</v>
      </c>
      <c r="AM6" s="205">
        <v>2004</v>
      </c>
      <c r="AN6" s="205">
        <v>2005</v>
      </c>
      <c r="AO6" s="205">
        <v>2006</v>
      </c>
      <c r="AP6" s="205">
        <v>2007</v>
      </c>
      <c r="AQ6" s="205">
        <v>2008</v>
      </c>
      <c r="AR6" s="205">
        <v>2009</v>
      </c>
      <c r="AS6" s="205">
        <v>2010</v>
      </c>
      <c r="AT6" s="205">
        <v>2011</v>
      </c>
      <c r="AU6" s="205">
        <v>2012</v>
      </c>
      <c r="AV6" s="205">
        <v>2013</v>
      </c>
      <c r="AW6" s="205">
        <v>2014</v>
      </c>
    </row>
    <row r="7" spans="1:49" ht="66">
      <c r="A7" s="7" t="s">
        <v>3334</v>
      </c>
      <c r="B7" s="1"/>
      <c r="C7" s="1"/>
      <c r="D7" s="1"/>
      <c r="E7" s="2" t="s">
        <v>3084</v>
      </c>
      <c r="F7" s="2" t="s">
        <v>3085</v>
      </c>
      <c r="G7" s="2" t="s">
        <v>3086</v>
      </c>
      <c r="H7" s="2" t="s">
        <v>3087</v>
      </c>
      <c r="I7" s="2" t="s">
        <v>3088</v>
      </c>
      <c r="J7" s="2" t="s">
        <v>3089</v>
      </c>
      <c r="K7" s="2" t="s">
        <v>3090</v>
      </c>
      <c r="L7" s="2" t="s">
        <v>3091</v>
      </c>
      <c r="M7" s="2" t="s">
        <v>3092</v>
      </c>
      <c r="N7" s="2" t="s">
        <v>3093</v>
      </c>
      <c r="O7" s="2" t="s">
        <v>3094</v>
      </c>
      <c r="P7" s="2" t="s">
        <v>3095</v>
      </c>
      <c r="Q7" s="2" t="s">
        <v>3096</v>
      </c>
      <c r="R7" s="2" t="s">
        <v>3097</v>
      </c>
      <c r="S7" s="2" t="s">
        <v>3098</v>
      </c>
      <c r="T7" s="2" t="s">
        <v>3099</v>
      </c>
      <c r="U7" s="2" t="s">
        <v>3100</v>
      </c>
      <c r="V7" s="2" t="s">
        <v>3101</v>
      </c>
      <c r="W7" s="2" t="s">
        <v>3102</v>
      </c>
      <c r="X7" s="2" t="s">
        <v>3103</v>
      </c>
      <c r="Y7" s="2" t="s">
        <v>3104</v>
      </c>
      <c r="Z7" s="2" t="s">
        <v>3105</v>
      </c>
      <c r="AA7" s="2" t="s">
        <v>3106</v>
      </c>
      <c r="AB7" s="2" t="s">
        <v>3107</v>
      </c>
      <c r="AC7" s="2" t="s">
        <v>3108</v>
      </c>
      <c r="AD7" s="2" t="s">
        <v>3109</v>
      </c>
      <c r="AE7" s="2" t="s">
        <v>3110</v>
      </c>
      <c r="AF7" s="15" t="s">
        <v>3111</v>
      </c>
      <c r="AG7" s="15" t="s">
        <v>3112</v>
      </c>
      <c r="AH7" s="15" t="s">
        <v>3113</v>
      </c>
      <c r="AI7" s="15" t="s">
        <v>3114</v>
      </c>
      <c r="AJ7" s="15" t="s">
        <v>3115</v>
      </c>
      <c r="AK7" s="15" t="s">
        <v>3116</v>
      </c>
      <c r="AL7" s="15" t="s">
        <v>3117</v>
      </c>
      <c r="AM7" s="15" t="s">
        <v>3118</v>
      </c>
      <c r="AN7" s="15" t="s">
        <v>3119</v>
      </c>
      <c r="AO7" s="15" t="s">
        <v>3120</v>
      </c>
      <c r="AP7" s="15" t="s">
        <v>3121</v>
      </c>
      <c r="AQ7" s="15" t="s">
        <v>3122</v>
      </c>
      <c r="AR7" s="15" t="s">
        <v>3123</v>
      </c>
      <c r="AS7" s="2" t="s">
        <v>3124</v>
      </c>
      <c r="AT7" s="15" t="s">
        <v>3125</v>
      </c>
      <c r="AU7" s="15" t="s">
        <v>3126</v>
      </c>
      <c r="AV7" s="15" t="s">
        <v>3127</v>
      </c>
      <c r="AW7" s="2" t="s">
        <v>3128</v>
      </c>
    </row>
    <row r="8" spans="1:49" s="206" customFormat="1">
      <c r="A8" s="9" t="s">
        <v>572</v>
      </c>
      <c r="B8" s="9" t="s">
        <v>770</v>
      </c>
      <c r="C8" s="9" t="s">
        <v>771</v>
      </c>
      <c r="D8" s="9" t="s">
        <v>772</v>
      </c>
      <c r="E8" s="9" t="s">
        <v>3007</v>
      </c>
      <c r="F8" s="205" t="s">
        <v>3041</v>
      </c>
      <c r="G8" s="205" t="s">
        <v>3042</v>
      </c>
      <c r="H8" s="205" t="s">
        <v>3043</v>
      </c>
      <c r="I8" s="205" t="s">
        <v>3044</v>
      </c>
      <c r="J8" s="205" t="s">
        <v>3045</v>
      </c>
      <c r="K8" s="205" t="s">
        <v>3046</v>
      </c>
      <c r="L8" s="205" t="s">
        <v>3047</v>
      </c>
      <c r="M8" s="205" t="s">
        <v>3048</v>
      </c>
      <c r="N8" s="205" t="s">
        <v>3049</v>
      </c>
      <c r="O8" s="9" t="s">
        <v>3008</v>
      </c>
      <c r="P8" s="205" t="s">
        <v>3050</v>
      </c>
      <c r="Q8" s="205" t="s">
        <v>3051</v>
      </c>
      <c r="R8" s="205" t="s">
        <v>3052</v>
      </c>
      <c r="S8" s="205" t="s">
        <v>3053</v>
      </c>
      <c r="T8" s="205" t="s">
        <v>3054</v>
      </c>
      <c r="U8" s="205" t="s">
        <v>3055</v>
      </c>
      <c r="V8" s="205" t="s">
        <v>3056</v>
      </c>
      <c r="W8" s="205" t="s">
        <v>3057</v>
      </c>
      <c r="X8" s="205" t="s">
        <v>3058</v>
      </c>
      <c r="Y8" s="205" t="s">
        <v>3059</v>
      </c>
      <c r="Z8" s="9" t="s">
        <v>3009</v>
      </c>
      <c r="AA8" s="205" t="s">
        <v>3060</v>
      </c>
      <c r="AB8" s="205" t="s">
        <v>3061</v>
      </c>
      <c r="AC8" s="205" t="s">
        <v>3062</v>
      </c>
      <c r="AD8" s="205" t="s">
        <v>3063</v>
      </c>
      <c r="AE8" s="205" t="s">
        <v>3064</v>
      </c>
      <c r="AF8" s="205" t="s">
        <v>3065</v>
      </c>
      <c r="AG8" s="205" t="s">
        <v>3066</v>
      </c>
      <c r="AH8" s="205" t="s">
        <v>3067</v>
      </c>
      <c r="AI8" s="9" t="s">
        <v>3068</v>
      </c>
      <c r="AJ8" s="9" t="s">
        <v>3010</v>
      </c>
      <c r="AK8" s="205" t="s">
        <v>3069</v>
      </c>
      <c r="AL8" s="205" t="s">
        <v>3070</v>
      </c>
      <c r="AM8" s="205" t="s">
        <v>3071</v>
      </c>
      <c r="AN8" s="205" t="s">
        <v>3072</v>
      </c>
      <c r="AO8" s="205" t="s">
        <v>3073</v>
      </c>
      <c r="AP8" s="205" t="s">
        <v>3074</v>
      </c>
      <c r="AQ8" s="205" t="s">
        <v>3075</v>
      </c>
      <c r="AR8" s="205" t="s">
        <v>3076</v>
      </c>
      <c r="AS8" s="9" t="s">
        <v>3011</v>
      </c>
      <c r="AT8" s="205" t="s">
        <v>3077</v>
      </c>
      <c r="AU8" s="205" t="s">
        <v>3078</v>
      </c>
      <c r="AV8" s="205" t="s">
        <v>3079</v>
      </c>
      <c r="AW8" s="9" t="s">
        <v>3012</v>
      </c>
    </row>
    <row r="9" spans="1:49">
      <c r="A9" s="3" t="s">
        <v>850</v>
      </c>
      <c r="B9" s="3" t="s">
        <v>851</v>
      </c>
      <c r="C9" s="3">
        <v>1</v>
      </c>
      <c r="D9" s="3" t="s">
        <v>759</v>
      </c>
      <c r="E9" s="204">
        <v>7</v>
      </c>
      <c r="F9" s="204">
        <v>7.12</v>
      </c>
      <c r="G9" s="204">
        <v>7.24</v>
      </c>
      <c r="H9" s="204">
        <v>7.3599999</v>
      </c>
      <c r="I9" s="204">
        <v>7.4799999000000001</v>
      </c>
      <c r="J9" s="204">
        <v>7.5999999000000003</v>
      </c>
      <c r="K9" s="204">
        <v>7.7199999000000004</v>
      </c>
      <c r="L9" s="204">
        <v>7.8399998999999996</v>
      </c>
      <c r="M9" s="204">
        <v>7.9599998000000003</v>
      </c>
      <c r="N9" s="204">
        <v>8.0799997999999995</v>
      </c>
      <c r="O9" s="204">
        <v>8.1999998000000005</v>
      </c>
      <c r="P9" s="204">
        <v>8.2818179999999995</v>
      </c>
      <c r="Q9" s="204">
        <v>8.3636362999999996</v>
      </c>
      <c r="R9" s="204">
        <v>8.4454545000000003</v>
      </c>
      <c r="S9" s="204">
        <v>8.5272726999999993</v>
      </c>
      <c r="T9" s="204">
        <v>8.6090909999999994</v>
      </c>
      <c r="U9" s="204">
        <v>8.6909092000000001</v>
      </c>
      <c r="V9" s="204">
        <v>8.7727274000000008</v>
      </c>
      <c r="W9" s="204">
        <v>8.8545456999999992</v>
      </c>
      <c r="X9" s="204">
        <v>8.9363638999999999</v>
      </c>
      <c r="Y9" s="204">
        <v>9.0181821000000006</v>
      </c>
      <c r="Z9" s="204">
        <v>9.1000004000000008</v>
      </c>
      <c r="AA9" s="204">
        <v>9.2500003999999993</v>
      </c>
      <c r="AB9" s="204">
        <v>9.4000003999999997</v>
      </c>
      <c r="AC9" s="204">
        <v>9.5500004000000001</v>
      </c>
      <c r="AD9" s="204">
        <v>9.7000004000000004</v>
      </c>
      <c r="AE9" s="204">
        <v>9.8500004000000008</v>
      </c>
      <c r="AF9" s="204">
        <v>10</v>
      </c>
      <c r="AG9" s="204">
        <v>10.15</v>
      </c>
      <c r="AH9" s="204">
        <v>10.3</v>
      </c>
      <c r="AI9" s="204">
        <v>10.45</v>
      </c>
      <c r="AJ9" s="204">
        <v>10.6</v>
      </c>
      <c r="AK9" s="204">
        <v>10.611110999999999</v>
      </c>
      <c r="AL9" s="204">
        <v>10.622222000000001</v>
      </c>
      <c r="AM9" s="204">
        <v>10.633334</v>
      </c>
      <c r="AN9" s="204">
        <v>10.644444999999999</v>
      </c>
      <c r="AO9" s="204">
        <v>10.655556000000001</v>
      </c>
      <c r="AP9" s="204">
        <v>10.666667</v>
      </c>
      <c r="AQ9" s="204">
        <v>10.677778</v>
      </c>
      <c r="AR9" s="204">
        <v>10.688889</v>
      </c>
      <c r="AS9" s="204">
        <v>10.7</v>
      </c>
      <c r="AT9" s="204">
        <v>10.8</v>
      </c>
      <c r="AU9" s="204">
        <v>10.9</v>
      </c>
      <c r="AV9" s="204">
        <v>11</v>
      </c>
      <c r="AW9" s="204">
        <v>11.1</v>
      </c>
    </row>
    <row r="10" spans="1:49">
      <c r="A10" s="3" t="s">
        <v>667</v>
      </c>
      <c r="B10" s="3" t="s">
        <v>668</v>
      </c>
      <c r="C10" s="3">
        <v>2</v>
      </c>
      <c r="D10" s="3" t="s">
        <v>759</v>
      </c>
      <c r="E10" s="204">
        <v>11.8</v>
      </c>
      <c r="F10" s="204">
        <v>12.1</v>
      </c>
      <c r="G10" s="204">
        <v>12.4</v>
      </c>
      <c r="H10" s="204">
        <v>12.7</v>
      </c>
      <c r="I10" s="204">
        <v>13</v>
      </c>
      <c r="J10" s="204">
        <v>13.3</v>
      </c>
      <c r="K10" s="204">
        <v>13.6</v>
      </c>
      <c r="L10" s="204">
        <v>13.9</v>
      </c>
      <c r="M10" s="204">
        <v>14.2</v>
      </c>
      <c r="N10" s="204">
        <v>14.5</v>
      </c>
      <c r="O10" s="204">
        <v>14.8</v>
      </c>
      <c r="P10" s="204">
        <v>14.936363999999999</v>
      </c>
      <c r="Q10" s="204">
        <v>15.072727</v>
      </c>
      <c r="R10" s="204">
        <v>15.209091000000001</v>
      </c>
      <c r="S10" s="204">
        <v>15.345454</v>
      </c>
      <c r="T10" s="204">
        <v>15.481818000000001</v>
      </c>
      <c r="U10" s="204">
        <v>15.618181</v>
      </c>
      <c r="V10" s="204">
        <v>15.754545</v>
      </c>
      <c r="W10" s="204">
        <v>15.890909000000001</v>
      </c>
      <c r="X10" s="204">
        <v>16.027272</v>
      </c>
      <c r="Y10" s="204">
        <v>16.163636</v>
      </c>
      <c r="Z10" s="204">
        <v>16.299999</v>
      </c>
      <c r="AA10" s="204">
        <v>16.389999</v>
      </c>
      <c r="AB10" s="204">
        <v>16.48</v>
      </c>
      <c r="AC10" s="204">
        <v>16.57</v>
      </c>
      <c r="AD10" s="204">
        <v>16.66</v>
      </c>
      <c r="AE10" s="204">
        <v>16.75</v>
      </c>
      <c r="AF10" s="204">
        <v>16.84</v>
      </c>
      <c r="AG10" s="204">
        <v>16.93</v>
      </c>
      <c r="AH10" s="204">
        <v>17.02</v>
      </c>
      <c r="AI10" s="204">
        <v>17.110001</v>
      </c>
      <c r="AJ10" s="204">
        <v>17.200001</v>
      </c>
      <c r="AK10" s="204">
        <v>17.111111999999999</v>
      </c>
      <c r="AL10" s="204">
        <v>17.022223</v>
      </c>
      <c r="AM10" s="204">
        <v>16.933333999999999</v>
      </c>
      <c r="AN10" s="204">
        <v>16.844445</v>
      </c>
      <c r="AO10" s="204">
        <v>16.755555999999999</v>
      </c>
      <c r="AP10" s="204">
        <v>16.666667</v>
      </c>
      <c r="AQ10" s="204">
        <v>16.577777999999999</v>
      </c>
      <c r="AR10" s="204">
        <v>16.488889</v>
      </c>
      <c r="AS10" s="204">
        <v>16.399999999999999</v>
      </c>
      <c r="AT10" s="204">
        <v>16.25</v>
      </c>
      <c r="AU10" s="204">
        <v>16.100000000000001</v>
      </c>
      <c r="AV10" s="204">
        <v>15.95</v>
      </c>
      <c r="AW10" s="204">
        <v>15.8</v>
      </c>
    </row>
    <row r="11" spans="1:49">
      <c r="A11" s="3" t="s">
        <v>669</v>
      </c>
      <c r="B11" s="3" t="s">
        <v>663</v>
      </c>
      <c r="C11" s="3">
        <v>3</v>
      </c>
      <c r="D11" s="3" t="s">
        <v>664</v>
      </c>
      <c r="E11" s="204">
        <v>6.5</v>
      </c>
      <c r="F11" s="204">
        <v>6.54</v>
      </c>
      <c r="G11" s="204">
        <v>6.58</v>
      </c>
      <c r="H11" s="204">
        <v>6.62</v>
      </c>
      <c r="I11" s="204">
        <v>6.66</v>
      </c>
      <c r="J11" s="204">
        <v>6.7</v>
      </c>
      <c r="K11" s="204">
        <v>6.7400000999999996</v>
      </c>
      <c r="L11" s="204">
        <v>6.7800000999999996</v>
      </c>
      <c r="M11" s="204">
        <v>6.8200000999999997</v>
      </c>
      <c r="N11" s="204">
        <v>6.8600000999999997</v>
      </c>
      <c r="O11" s="204">
        <v>6.9000000999999997</v>
      </c>
      <c r="P11" s="204">
        <v>6.8909092000000003</v>
      </c>
      <c r="Q11" s="204">
        <v>6.8818182999999999</v>
      </c>
      <c r="R11" s="204">
        <v>6.8727273999999996</v>
      </c>
      <c r="S11" s="204">
        <v>6.8636365000000001</v>
      </c>
      <c r="T11" s="204">
        <v>6.8545455999999998</v>
      </c>
      <c r="U11" s="204">
        <v>6.8454547000000003</v>
      </c>
      <c r="V11" s="204">
        <v>6.8363638</v>
      </c>
      <c r="W11" s="204">
        <v>6.8272728999999996</v>
      </c>
      <c r="X11" s="204">
        <v>6.8181820000000002</v>
      </c>
      <c r="Y11" s="204">
        <v>6.8090910999999998</v>
      </c>
      <c r="Z11" s="204">
        <v>6.8000002000000004</v>
      </c>
      <c r="AA11" s="204">
        <v>6.8400002000000004</v>
      </c>
      <c r="AB11" s="204">
        <v>6.8800001000000002</v>
      </c>
      <c r="AC11" s="204">
        <v>6.9200001000000002</v>
      </c>
      <c r="AD11" s="204">
        <v>6.96</v>
      </c>
      <c r="AE11" s="204">
        <v>7</v>
      </c>
      <c r="AF11" s="204">
        <v>7.04</v>
      </c>
      <c r="AG11" s="204">
        <v>7.0799998999999998</v>
      </c>
      <c r="AH11" s="204">
        <v>7.1199998999999998</v>
      </c>
      <c r="AI11" s="204">
        <v>7.1599997999999996</v>
      </c>
      <c r="AJ11" s="204">
        <v>7.1999997999999996</v>
      </c>
      <c r="AK11" s="204">
        <v>7.2777776000000003</v>
      </c>
      <c r="AL11" s="204">
        <v>7.3555554000000001</v>
      </c>
      <c r="AM11" s="204">
        <v>7.4333331999999999</v>
      </c>
      <c r="AN11" s="204">
        <v>7.5111109999999996</v>
      </c>
      <c r="AO11" s="204">
        <v>7.5888888999999997</v>
      </c>
      <c r="AP11" s="204">
        <v>7.6666667000000004</v>
      </c>
      <c r="AQ11" s="204">
        <v>7.7444445000000002</v>
      </c>
      <c r="AR11" s="204">
        <v>7.8222223</v>
      </c>
      <c r="AS11" s="204">
        <v>7.9000000999999997</v>
      </c>
      <c r="AT11" s="204">
        <v>8.0750001999999999</v>
      </c>
      <c r="AU11" s="204">
        <v>8.2500002000000006</v>
      </c>
      <c r="AV11" s="204">
        <v>8.4250003000000007</v>
      </c>
      <c r="AW11" s="204">
        <v>8.6000004000000008</v>
      </c>
    </row>
    <row r="12" spans="1:49">
      <c r="A12" s="3" t="s">
        <v>665</v>
      </c>
      <c r="B12" s="3" t="s">
        <v>640</v>
      </c>
      <c r="C12" s="3">
        <v>4</v>
      </c>
      <c r="D12" s="3" t="s">
        <v>641</v>
      </c>
      <c r="E12" s="204">
        <v>4.4000000999999997</v>
      </c>
      <c r="F12" s="204">
        <v>4.4300001</v>
      </c>
      <c r="G12" s="204">
        <v>4.46</v>
      </c>
      <c r="H12" s="204">
        <v>4.49</v>
      </c>
      <c r="I12" s="204">
        <v>4.5199999999999996</v>
      </c>
      <c r="J12" s="204">
        <v>4.55</v>
      </c>
      <c r="K12" s="204">
        <v>4.5799998999999998</v>
      </c>
      <c r="L12" s="204">
        <v>4.6099999</v>
      </c>
      <c r="M12" s="204">
        <v>4.6399999000000003</v>
      </c>
      <c r="N12" s="204">
        <v>4.6699998000000003</v>
      </c>
      <c r="O12" s="204">
        <v>4.6999997999999996</v>
      </c>
      <c r="P12" s="204">
        <v>4.7363635000000004</v>
      </c>
      <c r="Q12" s="204">
        <v>4.7727271</v>
      </c>
      <c r="R12" s="204">
        <v>4.8090906999999996</v>
      </c>
      <c r="S12" s="204">
        <v>4.8454544000000004</v>
      </c>
      <c r="T12" s="204">
        <v>4.881818</v>
      </c>
      <c r="U12" s="204">
        <v>4.9181816999999999</v>
      </c>
      <c r="V12" s="204">
        <v>4.9545453000000004</v>
      </c>
      <c r="W12" s="204">
        <v>4.9909090000000003</v>
      </c>
      <c r="X12" s="204">
        <v>5.0272725999999999</v>
      </c>
      <c r="Y12" s="204">
        <v>5.0636362999999998</v>
      </c>
      <c r="Z12" s="204">
        <v>5.0999999000000003</v>
      </c>
      <c r="AA12" s="204">
        <v>5.1999998999999999</v>
      </c>
      <c r="AB12" s="204">
        <v>5.2999999000000004</v>
      </c>
      <c r="AC12" s="204">
        <v>5.3999999000000001</v>
      </c>
      <c r="AD12" s="204">
        <v>5.4999998999999997</v>
      </c>
      <c r="AE12" s="204">
        <v>5.5999999000000003</v>
      </c>
      <c r="AF12" s="204">
        <v>5.6999998999999999</v>
      </c>
      <c r="AG12" s="204">
        <v>5.7999999000000004</v>
      </c>
      <c r="AH12" s="204">
        <v>5.8999999000000001</v>
      </c>
      <c r="AI12" s="204">
        <v>5.9999998999999997</v>
      </c>
      <c r="AJ12" s="204">
        <v>6.0999999000000003</v>
      </c>
      <c r="AK12" s="204">
        <v>6.1999998999999999</v>
      </c>
      <c r="AL12" s="204">
        <v>6.2999999000000004</v>
      </c>
      <c r="AM12" s="204">
        <v>6.3999999000000001</v>
      </c>
      <c r="AN12" s="204">
        <v>6.4999998999999997</v>
      </c>
      <c r="AO12" s="204">
        <v>6.6</v>
      </c>
      <c r="AP12" s="204">
        <v>6.7</v>
      </c>
      <c r="AQ12" s="204">
        <v>6.8</v>
      </c>
      <c r="AR12" s="204">
        <v>6.9</v>
      </c>
      <c r="AS12" s="204">
        <v>7</v>
      </c>
      <c r="AT12" s="204">
        <v>7.0750000000000002</v>
      </c>
      <c r="AU12" s="204">
        <v>7.1500000999999997</v>
      </c>
      <c r="AV12" s="204">
        <v>7.2250000999999999</v>
      </c>
      <c r="AW12" s="204">
        <v>7.3000002000000004</v>
      </c>
    </row>
    <row r="13" spans="1:49">
      <c r="A13" s="3" t="s">
        <v>539</v>
      </c>
      <c r="B13" s="3" t="s">
        <v>540</v>
      </c>
      <c r="C13" s="3">
        <v>5</v>
      </c>
      <c r="D13" s="3" t="s">
        <v>541</v>
      </c>
      <c r="E13" s="204">
        <v>3.5999998999999998</v>
      </c>
      <c r="F13" s="204">
        <v>3.6599998999999999</v>
      </c>
      <c r="G13" s="204">
        <v>3.7199998999999999</v>
      </c>
      <c r="H13" s="204">
        <v>3.7799999</v>
      </c>
      <c r="I13" s="204">
        <v>3.8399999</v>
      </c>
      <c r="J13" s="204">
        <v>3.8999999000000001</v>
      </c>
      <c r="K13" s="204">
        <v>3.9599997999999998</v>
      </c>
      <c r="L13" s="204">
        <v>4.0199997999999999</v>
      </c>
      <c r="M13" s="204">
        <v>4.0799998000000004</v>
      </c>
      <c r="N13" s="204">
        <v>4.1399998</v>
      </c>
      <c r="O13" s="204">
        <v>4.1999997999999996</v>
      </c>
      <c r="P13" s="204">
        <v>4.2727271</v>
      </c>
      <c r="Q13" s="204">
        <v>4.3454544000000004</v>
      </c>
      <c r="R13" s="204">
        <v>4.4181816999999999</v>
      </c>
      <c r="S13" s="204">
        <v>4.4909090000000003</v>
      </c>
      <c r="T13" s="204">
        <v>4.5636362999999998</v>
      </c>
      <c r="U13" s="204">
        <v>4.6363634999999999</v>
      </c>
      <c r="V13" s="204">
        <v>4.7090908000000002</v>
      </c>
      <c r="W13" s="204">
        <v>4.7818180999999997</v>
      </c>
      <c r="X13" s="204">
        <v>4.8545454000000001</v>
      </c>
      <c r="Y13" s="204">
        <v>4.9272726999999996</v>
      </c>
      <c r="Z13" s="204">
        <v>5</v>
      </c>
      <c r="AA13" s="204">
        <v>5.16</v>
      </c>
      <c r="AB13" s="204">
        <v>5.32</v>
      </c>
      <c r="AC13" s="204">
        <v>5.48</v>
      </c>
      <c r="AD13" s="204">
        <v>5.64</v>
      </c>
      <c r="AE13" s="204">
        <v>5.8</v>
      </c>
      <c r="AF13" s="204">
        <v>5.9599998999999997</v>
      </c>
      <c r="AG13" s="204">
        <v>6.1199998999999998</v>
      </c>
      <c r="AH13" s="204">
        <v>6.2799999</v>
      </c>
      <c r="AI13" s="204">
        <v>6.4399999000000001</v>
      </c>
      <c r="AJ13" s="204">
        <v>6.5999999000000003</v>
      </c>
      <c r="AK13" s="204">
        <v>6.6888888</v>
      </c>
      <c r="AL13" s="204">
        <v>6.7777776999999997</v>
      </c>
      <c r="AM13" s="204">
        <v>6.8666666000000003</v>
      </c>
      <c r="AN13" s="204">
        <v>6.9555555</v>
      </c>
      <c r="AO13" s="204">
        <v>7.0444445</v>
      </c>
      <c r="AP13" s="204">
        <v>7.1333333999999997</v>
      </c>
      <c r="AQ13" s="204">
        <v>7.2222223000000003</v>
      </c>
      <c r="AR13" s="204">
        <v>7.3111112</v>
      </c>
      <c r="AS13" s="204">
        <v>7.4000000999999997</v>
      </c>
      <c r="AT13" s="204">
        <v>7.5500001000000001</v>
      </c>
      <c r="AU13" s="204">
        <v>7.7</v>
      </c>
      <c r="AV13" s="204">
        <v>7.85</v>
      </c>
      <c r="AW13" s="204">
        <v>8</v>
      </c>
    </row>
    <row r="14" spans="1:49">
      <c r="A14" s="3" t="s">
        <v>542</v>
      </c>
      <c r="B14" s="3" t="s">
        <v>543</v>
      </c>
      <c r="C14" s="3">
        <v>6</v>
      </c>
      <c r="D14" s="3" t="s">
        <v>759</v>
      </c>
      <c r="E14" s="204">
        <v>6.5</v>
      </c>
      <c r="F14" s="204">
        <v>6.68</v>
      </c>
      <c r="G14" s="204">
        <v>6.86</v>
      </c>
      <c r="H14" s="204">
        <v>7.0400001000000003</v>
      </c>
      <c r="I14" s="204">
        <v>7.2200001</v>
      </c>
      <c r="J14" s="204">
        <v>7.4000000999999997</v>
      </c>
      <c r="K14" s="204">
        <v>7.5800001000000004</v>
      </c>
      <c r="L14" s="204">
        <v>7.7600001000000001</v>
      </c>
      <c r="M14" s="204">
        <v>7.9400002000000001</v>
      </c>
      <c r="N14" s="204">
        <v>8.1200001999999998</v>
      </c>
      <c r="O14" s="204">
        <v>8.3000001999999995</v>
      </c>
      <c r="P14" s="204">
        <v>8.3909093000000006</v>
      </c>
      <c r="Q14" s="204">
        <v>8.4818183999999999</v>
      </c>
      <c r="R14" s="204">
        <v>8.5727274999999992</v>
      </c>
      <c r="S14" s="204">
        <v>8.6636366000000002</v>
      </c>
      <c r="T14" s="204">
        <v>8.7545456000000001</v>
      </c>
      <c r="U14" s="204">
        <v>8.8454546999999994</v>
      </c>
      <c r="V14" s="204">
        <v>8.9363638000000005</v>
      </c>
      <c r="W14" s="204">
        <v>9.0272728999999998</v>
      </c>
      <c r="X14" s="204">
        <v>9.1181819999999991</v>
      </c>
      <c r="Y14" s="204">
        <v>9.2090911000000002</v>
      </c>
      <c r="Z14" s="204">
        <v>9.3000001999999995</v>
      </c>
      <c r="AA14" s="204">
        <v>9.4300002000000003</v>
      </c>
      <c r="AB14" s="204">
        <v>9.5600001999999993</v>
      </c>
      <c r="AC14" s="204">
        <v>9.6900002000000001</v>
      </c>
      <c r="AD14" s="204">
        <v>9.8200003000000002</v>
      </c>
      <c r="AE14" s="204">
        <v>9.9500002999999992</v>
      </c>
      <c r="AF14" s="204">
        <v>10.08</v>
      </c>
      <c r="AG14" s="204">
        <v>10.210000000000001</v>
      </c>
      <c r="AH14" s="204">
        <v>10.34</v>
      </c>
      <c r="AI14" s="204">
        <v>10.47</v>
      </c>
      <c r="AJ14" s="204">
        <v>10.6</v>
      </c>
      <c r="AK14" s="204">
        <v>10.666667</v>
      </c>
      <c r="AL14" s="204">
        <v>10.733333999999999</v>
      </c>
      <c r="AM14" s="204">
        <v>10.8</v>
      </c>
      <c r="AN14" s="204">
        <v>10.866667</v>
      </c>
      <c r="AO14" s="204">
        <v>10.933332999999999</v>
      </c>
      <c r="AP14" s="204">
        <v>11</v>
      </c>
      <c r="AQ14" s="204">
        <v>11.066667000000001</v>
      </c>
      <c r="AR14" s="204">
        <v>11.133333</v>
      </c>
      <c r="AS14" s="204">
        <v>11.2</v>
      </c>
      <c r="AT14" s="204">
        <v>11.3</v>
      </c>
      <c r="AU14" s="204">
        <v>11.4</v>
      </c>
      <c r="AV14" s="204">
        <v>11.5</v>
      </c>
      <c r="AW14" s="204">
        <v>11.6</v>
      </c>
    </row>
    <row r="15" spans="1:49">
      <c r="A15" s="3" t="s">
        <v>628</v>
      </c>
      <c r="B15" s="3" t="s">
        <v>629</v>
      </c>
      <c r="C15" s="3">
        <v>7</v>
      </c>
      <c r="D15" s="3" t="s">
        <v>641</v>
      </c>
      <c r="E15" s="204">
        <v>5.5</v>
      </c>
      <c r="F15" s="204">
        <v>5.59</v>
      </c>
      <c r="G15" s="204">
        <v>5.68</v>
      </c>
      <c r="H15" s="204">
        <v>5.77</v>
      </c>
      <c r="I15" s="204">
        <v>5.86</v>
      </c>
      <c r="J15" s="204">
        <v>5.95</v>
      </c>
      <c r="K15" s="204">
        <v>6.0400001000000003</v>
      </c>
      <c r="L15" s="204">
        <v>6.1300001000000002</v>
      </c>
      <c r="M15" s="204">
        <v>6.2200001</v>
      </c>
      <c r="N15" s="204">
        <v>6.3100000999999999</v>
      </c>
      <c r="O15" s="204">
        <v>6.4000000999999997</v>
      </c>
      <c r="P15" s="204">
        <v>6.3909092000000003</v>
      </c>
      <c r="Q15" s="204">
        <v>6.3818182999999999</v>
      </c>
      <c r="R15" s="204">
        <v>6.3727273999999996</v>
      </c>
      <c r="S15" s="204">
        <v>6.3636365000000001</v>
      </c>
      <c r="T15" s="204">
        <v>6.3545455999999998</v>
      </c>
      <c r="U15" s="204">
        <v>6.3454547000000003</v>
      </c>
      <c r="V15" s="204">
        <v>6.3363638</v>
      </c>
      <c r="W15" s="204">
        <v>6.3272728999999996</v>
      </c>
      <c r="X15" s="204">
        <v>6.3181820000000002</v>
      </c>
      <c r="Y15" s="204">
        <v>6.3090910999999998</v>
      </c>
      <c r="Z15" s="204">
        <v>6.3000002000000004</v>
      </c>
      <c r="AA15" s="204">
        <v>6.3600002</v>
      </c>
      <c r="AB15" s="204">
        <v>6.4200001999999996</v>
      </c>
      <c r="AC15" s="204">
        <v>6.4800002000000001</v>
      </c>
      <c r="AD15" s="204">
        <v>6.5400001999999997</v>
      </c>
      <c r="AE15" s="204">
        <v>6.6000000999999999</v>
      </c>
      <c r="AF15" s="204">
        <v>6.6600001000000004</v>
      </c>
      <c r="AG15" s="204">
        <v>6.7200001</v>
      </c>
      <c r="AH15" s="204">
        <v>6.7800000999999996</v>
      </c>
      <c r="AI15" s="204">
        <v>6.8400001000000001</v>
      </c>
      <c r="AJ15" s="204">
        <v>6.9000000999999997</v>
      </c>
      <c r="AK15" s="204">
        <v>7.0111112000000002</v>
      </c>
      <c r="AL15" s="204">
        <v>7.1222222999999998</v>
      </c>
      <c r="AM15" s="204">
        <v>7.2333334000000002</v>
      </c>
      <c r="AN15" s="204">
        <v>7.3444444999999998</v>
      </c>
      <c r="AO15" s="204">
        <v>7.4555556999999997</v>
      </c>
      <c r="AP15" s="204">
        <v>7.5666668000000001</v>
      </c>
      <c r="AQ15" s="204">
        <v>7.6777778999999997</v>
      </c>
      <c r="AR15" s="204">
        <v>7.7888890000000002</v>
      </c>
      <c r="AS15" s="204">
        <v>7.9000000999999997</v>
      </c>
      <c r="AT15" s="204">
        <v>8.0500001000000001</v>
      </c>
      <c r="AU15" s="204">
        <v>8.1999999999999993</v>
      </c>
      <c r="AV15" s="204">
        <v>8.35</v>
      </c>
      <c r="AW15" s="204">
        <v>8.5</v>
      </c>
    </row>
    <row r="16" spans="1:49">
      <c r="A16" s="3" t="s">
        <v>630</v>
      </c>
      <c r="B16" s="3" t="s">
        <v>631</v>
      </c>
      <c r="C16" s="3">
        <v>8</v>
      </c>
      <c r="D16" s="3" t="s">
        <v>759</v>
      </c>
      <c r="E16" s="204">
        <v>6.8000002000000004</v>
      </c>
      <c r="F16" s="204">
        <v>6.9400002000000001</v>
      </c>
      <c r="G16" s="204">
        <v>7.0800001000000004</v>
      </c>
      <c r="H16" s="204">
        <v>7.2200001</v>
      </c>
      <c r="I16" s="204">
        <v>7.36</v>
      </c>
      <c r="J16" s="204">
        <v>7.5</v>
      </c>
      <c r="K16" s="204">
        <v>7.64</v>
      </c>
      <c r="L16" s="204">
        <v>7.7799999</v>
      </c>
      <c r="M16" s="204">
        <v>7.9199998999999996</v>
      </c>
      <c r="N16" s="204">
        <v>8.0599997999999999</v>
      </c>
      <c r="O16" s="204">
        <v>8.1999998000000005</v>
      </c>
      <c r="P16" s="204">
        <v>8.2545453000000002</v>
      </c>
      <c r="Q16" s="204">
        <v>8.3090907999999999</v>
      </c>
      <c r="R16" s="204">
        <v>8.3636362999999996</v>
      </c>
      <c r="S16" s="204">
        <v>8.4181817999999993</v>
      </c>
      <c r="T16" s="204">
        <v>8.4727273000000007</v>
      </c>
      <c r="U16" s="204">
        <v>8.5272726999999993</v>
      </c>
      <c r="V16" s="204">
        <v>8.5818182000000007</v>
      </c>
      <c r="W16" s="204">
        <v>8.6363637000000004</v>
      </c>
      <c r="X16" s="204">
        <v>8.6909092000000001</v>
      </c>
      <c r="Y16" s="204">
        <v>8.7454546999999998</v>
      </c>
      <c r="Z16" s="204">
        <v>8.8000001999999995</v>
      </c>
      <c r="AA16" s="204">
        <v>8.8700001999999998</v>
      </c>
      <c r="AB16" s="204">
        <v>8.9400002000000001</v>
      </c>
      <c r="AC16" s="204">
        <v>9.0100000999999992</v>
      </c>
      <c r="AD16" s="204">
        <v>9.0800000999999995</v>
      </c>
      <c r="AE16" s="204">
        <v>9.1500000999999997</v>
      </c>
      <c r="AF16" s="204">
        <v>9.2200001</v>
      </c>
      <c r="AG16" s="204">
        <v>9.2900001000000003</v>
      </c>
      <c r="AH16" s="204">
        <v>9.36</v>
      </c>
      <c r="AI16" s="204">
        <v>9.43</v>
      </c>
      <c r="AJ16" s="204">
        <v>9.5</v>
      </c>
      <c r="AK16" s="204">
        <v>9.5888889000000006</v>
      </c>
      <c r="AL16" s="204">
        <v>9.6777777999999994</v>
      </c>
      <c r="AM16" s="204">
        <v>9.7666667</v>
      </c>
      <c r="AN16" s="204">
        <v>9.8555556000000006</v>
      </c>
      <c r="AO16" s="204">
        <v>9.9444446000000006</v>
      </c>
      <c r="AP16" s="204">
        <v>10.033333000000001</v>
      </c>
      <c r="AQ16" s="204">
        <v>10.122222000000001</v>
      </c>
      <c r="AR16" s="204">
        <v>10.211111000000001</v>
      </c>
      <c r="AS16" s="204">
        <v>10.3</v>
      </c>
      <c r="AT16" s="204">
        <v>10.425000000000001</v>
      </c>
      <c r="AU16" s="204">
        <v>10.55</v>
      </c>
      <c r="AV16" s="204">
        <v>10.675000000000001</v>
      </c>
      <c r="AW16" s="204">
        <v>10.8</v>
      </c>
    </row>
    <row r="17" spans="1:49">
      <c r="A17" s="3" t="s">
        <v>632</v>
      </c>
      <c r="B17" s="3" t="s">
        <v>633</v>
      </c>
      <c r="C17" s="3">
        <v>9</v>
      </c>
      <c r="D17" s="3" t="s">
        <v>641</v>
      </c>
      <c r="E17" s="204">
        <v>2.8</v>
      </c>
      <c r="F17" s="204">
        <v>2.9299998999999999</v>
      </c>
      <c r="G17" s="204">
        <v>3.0599999000000002</v>
      </c>
      <c r="H17" s="204">
        <v>3.1899999000000001</v>
      </c>
      <c r="I17" s="204">
        <v>3.3199999</v>
      </c>
      <c r="J17" s="204">
        <v>3.4499998999999999</v>
      </c>
      <c r="K17" s="204">
        <v>3.5799998999999998</v>
      </c>
      <c r="L17" s="204">
        <v>3.7099999000000001</v>
      </c>
      <c r="M17" s="204">
        <v>3.8399999</v>
      </c>
      <c r="N17" s="204">
        <v>3.9699998999999999</v>
      </c>
      <c r="O17" s="204">
        <v>4.0999999000000003</v>
      </c>
      <c r="P17" s="204">
        <v>4.1545453999999999</v>
      </c>
      <c r="Q17" s="204">
        <v>4.2090908000000002</v>
      </c>
      <c r="R17" s="204">
        <v>4.2636361999999997</v>
      </c>
      <c r="S17" s="204">
        <v>4.3181817000000002</v>
      </c>
      <c r="T17" s="204">
        <v>4.3727270999999996</v>
      </c>
      <c r="U17" s="204">
        <v>4.4272726000000002</v>
      </c>
      <c r="V17" s="204">
        <v>4.4818179999999996</v>
      </c>
      <c r="W17" s="204">
        <v>4.5363635000000002</v>
      </c>
      <c r="X17" s="204">
        <v>4.5909088999999996</v>
      </c>
      <c r="Y17" s="204">
        <v>4.6454544000000002</v>
      </c>
      <c r="Z17" s="204">
        <v>4.6999997999999996</v>
      </c>
      <c r="AA17" s="204">
        <v>4.7899998000000004</v>
      </c>
      <c r="AB17" s="204">
        <v>4.8799998000000002</v>
      </c>
      <c r="AC17" s="204">
        <v>4.9699998000000001</v>
      </c>
      <c r="AD17" s="204">
        <v>5.0599997999999999</v>
      </c>
      <c r="AE17" s="204">
        <v>5.1499999000000001</v>
      </c>
      <c r="AF17" s="204">
        <v>5.2399998999999999</v>
      </c>
      <c r="AG17" s="204">
        <v>5.3299998999999998</v>
      </c>
      <c r="AH17" s="204">
        <v>5.4199998999999996</v>
      </c>
      <c r="AI17" s="204">
        <v>5.5099999000000004</v>
      </c>
      <c r="AJ17" s="204">
        <v>5.5999999000000003</v>
      </c>
      <c r="AK17" s="204">
        <v>5.7555554999999998</v>
      </c>
      <c r="AL17" s="204">
        <v>5.911111</v>
      </c>
      <c r="AM17" s="204">
        <v>6.0666665999999996</v>
      </c>
      <c r="AN17" s="204">
        <v>6.2222222</v>
      </c>
      <c r="AO17" s="204">
        <v>6.3777777000000002</v>
      </c>
      <c r="AP17" s="204">
        <v>6.5333332999999998</v>
      </c>
      <c r="AQ17" s="204">
        <v>6.6888889000000002</v>
      </c>
      <c r="AR17" s="204">
        <v>6.8444444000000004</v>
      </c>
      <c r="AS17" s="204">
        <v>7</v>
      </c>
      <c r="AT17" s="204">
        <v>7.15</v>
      </c>
      <c r="AU17" s="204">
        <v>7.3</v>
      </c>
      <c r="AV17" s="204">
        <v>7.4499998999999999</v>
      </c>
      <c r="AW17" s="204">
        <v>7.5999999000000003</v>
      </c>
    </row>
    <row r="18" spans="1:49">
      <c r="A18" s="3" t="s">
        <v>634</v>
      </c>
      <c r="B18" s="3" t="s">
        <v>715</v>
      </c>
      <c r="C18" s="3">
        <v>10</v>
      </c>
      <c r="D18" s="3" t="s">
        <v>664</v>
      </c>
      <c r="E18" s="204">
        <v>3.4000001000000002</v>
      </c>
      <c r="F18" s="204">
        <v>3.4500001</v>
      </c>
      <c r="G18" s="204">
        <v>3.5000000999999998</v>
      </c>
      <c r="H18" s="204">
        <v>3.5500001000000001</v>
      </c>
      <c r="I18" s="204">
        <v>3.6000000999999999</v>
      </c>
      <c r="J18" s="204">
        <v>3.6500001000000002</v>
      </c>
      <c r="K18" s="204">
        <v>3.7000001</v>
      </c>
      <c r="L18" s="204">
        <v>3.7500000999999998</v>
      </c>
      <c r="M18" s="204">
        <v>3.8000001000000001</v>
      </c>
      <c r="N18" s="204">
        <v>3.8500000999999999</v>
      </c>
      <c r="O18" s="204">
        <v>3.9000001000000002</v>
      </c>
      <c r="P18" s="204">
        <v>3.9727272999999999</v>
      </c>
      <c r="Q18" s="204">
        <v>4.0454546000000002</v>
      </c>
      <c r="R18" s="204">
        <v>4.1181818000000003</v>
      </c>
      <c r="S18" s="204">
        <v>4.1909090999999998</v>
      </c>
      <c r="T18" s="204">
        <v>4.2636362999999999</v>
      </c>
      <c r="U18" s="204">
        <v>4.3363636000000003</v>
      </c>
      <c r="V18" s="204">
        <v>4.4090908000000004</v>
      </c>
      <c r="W18" s="204">
        <v>4.4818180999999999</v>
      </c>
      <c r="X18" s="204">
        <v>4.5545453</v>
      </c>
      <c r="Y18" s="204">
        <v>4.6272726000000004</v>
      </c>
      <c r="Z18" s="204">
        <v>4.6999997999999996</v>
      </c>
      <c r="AA18" s="204">
        <v>4.8199997999999997</v>
      </c>
      <c r="AB18" s="204">
        <v>4.9399999000000001</v>
      </c>
      <c r="AC18" s="204">
        <v>5.0599999000000002</v>
      </c>
      <c r="AD18" s="204">
        <v>5.1799999000000003</v>
      </c>
      <c r="AE18" s="204">
        <v>5.3</v>
      </c>
      <c r="AF18" s="204">
        <v>5.42</v>
      </c>
      <c r="AG18" s="204">
        <v>5.54</v>
      </c>
      <c r="AH18" s="204">
        <v>5.66</v>
      </c>
      <c r="AI18" s="204">
        <v>5.7800000999999996</v>
      </c>
      <c r="AJ18" s="204">
        <v>5.9000000999999997</v>
      </c>
      <c r="AK18" s="204">
        <v>6.0444445</v>
      </c>
      <c r="AL18" s="204">
        <v>6.1888889000000002</v>
      </c>
      <c r="AM18" s="204">
        <v>6.3333332999999996</v>
      </c>
      <c r="AN18" s="204">
        <v>6.4777776999999999</v>
      </c>
      <c r="AO18" s="204">
        <v>6.6222222000000004</v>
      </c>
      <c r="AP18" s="204">
        <v>6.7666665999999998</v>
      </c>
      <c r="AQ18" s="204">
        <v>6.911111</v>
      </c>
      <c r="AR18" s="204">
        <v>7.0555554000000003</v>
      </c>
      <c r="AS18" s="204">
        <v>7.1999997999999996</v>
      </c>
      <c r="AT18" s="204">
        <v>7.3749998999999997</v>
      </c>
      <c r="AU18" s="204">
        <v>7.55</v>
      </c>
      <c r="AV18" s="204">
        <v>7.7249999999999996</v>
      </c>
      <c r="AW18" s="204">
        <v>7.9000000999999997</v>
      </c>
    </row>
    <row r="19" spans="1:49">
      <c r="A19" s="3" t="s">
        <v>716</v>
      </c>
      <c r="B19" s="3" t="s">
        <v>717</v>
      </c>
      <c r="C19" s="3">
        <v>11</v>
      </c>
      <c r="D19" s="3" t="s">
        <v>541</v>
      </c>
      <c r="E19" s="204">
        <v>6.5</v>
      </c>
      <c r="F19" s="204">
        <v>6.64</v>
      </c>
      <c r="G19" s="204">
        <v>6.78</v>
      </c>
      <c r="H19" s="204">
        <v>6.92</v>
      </c>
      <c r="I19" s="204">
        <v>7.06</v>
      </c>
      <c r="J19" s="204">
        <v>7.2</v>
      </c>
      <c r="K19" s="204">
        <v>7.3400001000000001</v>
      </c>
      <c r="L19" s="204">
        <v>7.4800000999999998</v>
      </c>
      <c r="M19" s="204">
        <v>7.6200001000000004</v>
      </c>
      <c r="N19" s="204">
        <v>7.7600001000000001</v>
      </c>
      <c r="O19" s="204">
        <v>7.9000000999999997</v>
      </c>
      <c r="P19" s="204">
        <v>7.9909090999999997</v>
      </c>
      <c r="Q19" s="204">
        <v>8.0818182000000007</v>
      </c>
      <c r="R19" s="204">
        <v>8.1727272000000006</v>
      </c>
      <c r="S19" s="204">
        <v>8.2636362999999999</v>
      </c>
      <c r="T19" s="204">
        <v>8.3545452999999998</v>
      </c>
      <c r="U19" s="204">
        <v>8.4454543999999991</v>
      </c>
      <c r="V19" s="204">
        <v>8.5363634000000008</v>
      </c>
      <c r="W19" s="204">
        <v>8.6272725000000001</v>
      </c>
      <c r="X19" s="204">
        <v>8.7181815</v>
      </c>
      <c r="Y19" s="204">
        <v>8.8090905999999993</v>
      </c>
      <c r="Z19" s="204">
        <v>8.8999995999999992</v>
      </c>
      <c r="AA19" s="204">
        <v>8.9999996000000007</v>
      </c>
      <c r="AB19" s="204">
        <v>9.0999996000000003</v>
      </c>
      <c r="AC19" s="204">
        <v>9.1999995999999999</v>
      </c>
      <c r="AD19" s="204">
        <v>9.2999995999999996</v>
      </c>
      <c r="AE19" s="204">
        <v>9.3999995999999992</v>
      </c>
      <c r="AF19" s="204">
        <v>9.4999996000000007</v>
      </c>
      <c r="AG19" s="204">
        <v>9.5999996000000003</v>
      </c>
      <c r="AH19" s="204">
        <v>9.6999995999999999</v>
      </c>
      <c r="AI19" s="204">
        <v>9.7999995999999996</v>
      </c>
      <c r="AJ19" s="204">
        <v>9.8999995999999992</v>
      </c>
      <c r="AK19" s="204">
        <v>10.044444</v>
      </c>
      <c r="AL19" s="204">
        <v>10.188889</v>
      </c>
      <c r="AM19" s="204">
        <v>10.333333</v>
      </c>
      <c r="AN19" s="204">
        <v>10.477777</v>
      </c>
      <c r="AO19" s="204">
        <v>10.622222000000001</v>
      </c>
      <c r="AP19" s="204">
        <v>10.766666000000001</v>
      </c>
      <c r="AQ19" s="204">
        <v>10.911111</v>
      </c>
      <c r="AR19" s="204">
        <v>11.055555</v>
      </c>
      <c r="AS19" s="204">
        <v>11.2</v>
      </c>
      <c r="AT19" s="204">
        <v>11.375</v>
      </c>
      <c r="AU19" s="204">
        <v>11.55</v>
      </c>
      <c r="AV19" s="204">
        <v>11.725</v>
      </c>
      <c r="AW19" s="204">
        <v>11.9</v>
      </c>
    </row>
    <row r="20" spans="1:49">
      <c r="A20" s="3" t="s">
        <v>718</v>
      </c>
      <c r="B20" s="3" t="s">
        <v>719</v>
      </c>
      <c r="C20" s="3">
        <v>12</v>
      </c>
      <c r="D20" s="3" t="s">
        <v>664</v>
      </c>
      <c r="E20" s="204">
        <v>6.1999997999999996</v>
      </c>
      <c r="F20" s="204">
        <v>6.2299997999999999</v>
      </c>
      <c r="G20" s="204">
        <v>6.2599998000000001</v>
      </c>
      <c r="H20" s="204">
        <v>6.2899998999999998</v>
      </c>
      <c r="I20" s="204">
        <v>6.3199999</v>
      </c>
      <c r="J20" s="204">
        <v>6.3499999000000003</v>
      </c>
      <c r="K20" s="204">
        <v>6.3799998999999996</v>
      </c>
      <c r="L20" s="204">
        <v>6.4099998999999999</v>
      </c>
      <c r="M20" s="204">
        <v>6.44</v>
      </c>
      <c r="N20" s="204">
        <v>6.47</v>
      </c>
      <c r="O20" s="204">
        <v>6.5</v>
      </c>
      <c r="P20" s="204">
        <v>6.4818182000000002</v>
      </c>
      <c r="Q20" s="204">
        <v>6.4636364000000004</v>
      </c>
      <c r="R20" s="204">
        <v>6.4454545999999997</v>
      </c>
      <c r="S20" s="204">
        <v>6.4272727999999999</v>
      </c>
      <c r="T20" s="204">
        <v>6.4090910000000001</v>
      </c>
      <c r="U20" s="204">
        <v>6.3909092000000003</v>
      </c>
      <c r="V20" s="204">
        <v>6.3727273999999996</v>
      </c>
      <c r="W20" s="204">
        <v>6.3545455999999998</v>
      </c>
      <c r="X20" s="204">
        <v>6.3363638</v>
      </c>
      <c r="Y20" s="204">
        <v>6.3181820000000002</v>
      </c>
      <c r="Z20" s="204">
        <v>6.3000002000000004</v>
      </c>
      <c r="AA20" s="204">
        <v>6.3200002</v>
      </c>
      <c r="AB20" s="204">
        <v>6.3400002000000004</v>
      </c>
      <c r="AC20" s="204">
        <v>6.3600000999999997</v>
      </c>
      <c r="AD20" s="204">
        <v>6.3800001000000002</v>
      </c>
      <c r="AE20" s="204">
        <v>6.4000000999999997</v>
      </c>
      <c r="AF20" s="204">
        <v>6.4200001000000002</v>
      </c>
      <c r="AG20" s="204">
        <v>6.4400000999999998</v>
      </c>
      <c r="AH20" s="204">
        <v>6.46</v>
      </c>
      <c r="AI20" s="204">
        <v>6.48</v>
      </c>
      <c r="AJ20" s="204">
        <v>6.5</v>
      </c>
      <c r="AK20" s="204">
        <v>6.5777777999999998</v>
      </c>
      <c r="AL20" s="204">
        <v>6.6555555000000002</v>
      </c>
      <c r="AM20" s="204">
        <v>6.7333333</v>
      </c>
      <c r="AN20" s="204">
        <v>6.8111110000000004</v>
      </c>
      <c r="AO20" s="204">
        <v>6.8888888000000001</v>
      </c>
      <c r="AP20" s="204">
        <v>6.9666664999999997</v>
      </c>
      <c r="AQ20" s="204">
        <v>7.0444443000000003</v>
      </c>
      <c r="AR20" s="204">
        <v>7.1222221000000001</v>
      </c>
      <c r="AS20" s="204">
        <v>7.1999997999999996</v>
      </c>
      <c r="AT20" s="204">
        <v>7.3499999000000003</v>
      </c>
      <c r="AU20" s="204">
        <v>7.5</v>
      </c>
      <c r="AV20" s="204">
        <v>7.6500000999999997</v>
      </c>
      <c r="AW20" s="204">
        <v>7.8000002000000004</v>
      </c>
    </row>
    <row r="21" spans="1:49">
      <c r="A21" s="3" t="s">
        <v>711</v>
      </c>
      <c r="B21" s="3" t="s">
        <v>712</v>
      </c>
      <c r="C21" s="3">
        <v>13</v>
      </c>
      <c r="D21" s="3" t="s">
        <v>713</v>
      </c>
      <c r="E21" s="204">
        <v>5.0999999000000003</v>
      </c>
      <c r="F21" s="204">
        <v>5.2299999000000001</v>
      </c>
      <c r="G21" s="204">
        <v>5.3599999</v>
      </c>
      <c r="H21" s="204">
        <v>5.49</v>
      </c>
      <c r="I21" s="204">
        <v>5.62</v>
      </c>
      <c r="J21" s="204">
        <v>5.75</v>
      </c>
      <c r="K21" s="204">
        <v>5.88</v>
      </c>
      <c r="L21" s="204">
        <v>6.01</v>
      </c>
      <c r="M21" s="204">
        <v>6.1400001</v>
      </c>
      <c r="N21" s="204">
        <v>6.2700000999999999</v>
      </c>
      <c r="O21" s="204">
        <v>6.4000000999999997</v>
      </c>
      <c r="P21" s="204">
        <v>6.5181819000000001</v>
      </c>
      <c r="Q21" s="204">
        <v>6.6363637000000004</v>
      </c>
      <c r="R21" s="204">
        <v>6.7545454999999999</v>
      </c>
      <c r="S21" s="204">
        <v>6.8727273000000002</v>
      </c>
      <c r="T21" s="204">
        <v>6.9909090999999997</v>
      </c>
      <c r="U21" s="204">
        <v>7.1090907999999997</v>
      </c>
      <c r="V21" s="204">
        <v>7.2272726</v>
      </c>
      <c r="W21" s="204">
        <v>7.3454544000000004</v>
      </c>
      <c r="X21" s="204">
        <v>7.4636361999999998</v>
      </c>
      <c r="Y21" s="204">
        <v>7.5818180000000002</v>
      </c>
      <c r="Z21" s="204">
        <v>7.6999997999999996</v>
      </c>
      <c r="AA21" s="204">
        <v>7.8699998000000004</v>
      </c>
      <c r="AB21" s="204">
        <v>8.0399998000000004</v>
      </c>
      <c r="AC21" s="204">
        <v>8.2099998000000003</v>
      </c>
      <c r="AD21" s="204">
        <v>8.3799997000000008</v>
      </c>
      <c r="AE21" s="204">
        <v>8.5499997000000008</v>
      </c>
      <c r="AF21" s="204">
        <v>8.7199997000000007</v>
      </c>
      <c r="AG21" s="204">
        <v>8.8899997000000006</v>
      </c>
      <c r="AH21" s="204">
        <v>9.0599997000000005</v>
      </c>
      <c r="AI21" s="204">
        <v>9.2299995999999993</v>
      </c>
      <c r="AJ21" s="204">
        <v>9.3999995999999992</v>
      </c>
      <c r="AK21" s="204">
        <v>9.4999997</v>
      </c>
      <c r="AL21" s="204">
        <v>9.5999996999999997</v>
      </c>
      <c r="AM21" s="204">
        <v>9.6999998000000005</v>
      </c>
      <c r="AN21" s="204">
        <v>9.7999998999999995</v>
      </c>
      <c r="AO21" s="204">
        <v>9.8999998999999992</v>
      </c>
      <c r="AP21" s="204">
        <v>10</v>
      </c>
      <c r="AQ21" s="204">
        <v>10.1</v>
      </c>
      <c r="AR21" s="204">
        <v>10.199999999999999</v>
      </c>
      <c r="AS21" s="204">
        <v>10.3</v>
      </c>
      <c r="AT21" s="204">
        <v>10.45</v>
      </c>
      <c r="AU21" s="204">
        <v>10.6</v>
      </c>
      <c r="AV21" s="204">
        <v>10.75</v>
      </c>
      <c r="AW21" s="204">
        <v>10.9</v>
      </c>
    </row>
    <row r="22" spans="1:49">
      <c r="A22" s="3" t="s">
        <v>714</v>
      </c>
      <c r="B22" s="3" t="s">
        <v>530</v>
      </c>
      <c r="C22" s="3">
        <v>14</v>
      </c>
      <c r="D22" s="3" t="s">
        <v>641</v>
      </c>
      <c r="E22" s="204">
        <v>3.8</v>
      </c>
      <c r="F22" s="204">
        <v>3.8299998999999998</v>
      </c>
      <c r="G22" s="204">
        <v>3.8599999</v>
      </c>
      <c r="H22" s="204">
        <v>3.8899998999999998</v>
      </c>
      <c r="I22" s="204">
        <v>3.9199999000000001</v>
      </c>
      <c r="J22" s="204">
        <v>3.9499998999999999</v>
      </c>
      <c r="K22" s="204">
        <v>3.9799999000000001</v>
      </c>
      <c r="L22" s="204">
        <v>4.0099999000000004</v>
      </c>
      <c r="M22" s="204">
        <v>4.0399998999999998</v>
      </c>
      <c r="N22" s="204">
        <v>4.0699999</v>
      </c>
      <c r="O22" s="204">
        <v>4.0999999000000003</v>
      </c>
      <c r="P22" s="204">
        <v>4.1363634999999999</v>
      </c>
      <c r="Q22" s="204">
        <v>4.1727271999999997</v>
      </c>
      <c r="R22" s="204">
        <v>4.2090908000000002</v>
      </c>
      <c r="S22" s="204">
        <v>4.2454545000000001</v>
      </c>
      <c r="T22" s="204">
        <v>4.2818180999999997</v>
      </c>
      <c r="U22" s="204">
        <v>4.3181817999999996</v>
      </c>
      <c r="V22" s="204">
        <v>4.3545454000000001</v>
      </c>
      <c r="W22" s="204">
        <v>4.3909091</v>
      </c>
      <c r="X22" s="204">
        <v>4.4272726999999996</v>
      </c>
      <c r="Y22" s="204">
        <v>4.4636364000000004</v>
      </c>
      <c r="Z22" s="204">
        <v>4.5</v>
      </c>
      <c r="AA22" s="204">
        <v>4.59</v>
      </c>
      <c r="AB22" s="204">
        <v>4.68</v>
      </c>
      <c r="AC22" s="204">
        <v>4.7699999999999996</v>
      </c>
      <c r="AD22" s="204">
        <v>4.8600000000000003</v>
      </c>
      <c r="AE22" s="204">
        <v>4.95</v>
      </c>
      <c r="AF22" s="204">
        <v>5.0400001000000003</v>
      </c>
      <c r="AG22" s="204">
        <v>5.1300001000000002</v>
      </c>
      <c r="AH22" s="204">
        <v>5.2200001</v>
      </c>
      <c r="AI22" s="204">
        <v>5.3100000999999999</v>
      </c>
      <c r="AJ22" s="204">
        <v>5.4000000999999997</v>
      </c>
      <c r="AK22" s="204">
        <v>5.5000001000000003</v>
      </c>
      <c r="AL22" s="204">
        <v>5.6000000999999999</v>
      </c>
      <c r="AM22" s="204">
        <v>5.7000000999999996</v>
      </c>
      <c r="AN22" s="204">
        <v>5.8000001000000001</v>
      </c>
      <c r="AO22" s="204">
        <v>5.9000000999999997</v>
      </c>
      <c r="AP22" s="204">
        <v>6.0000001999999997</v>
      </c>
      <c r="AQ22" s="204">
        <v>6.1000002000000002</v>
      </c>
      <c r="AR22" s="204">
        <v>6.2000001999999999</v>
      </c>
      <c r="AS22" s="204">
        <v>6.3000002000000004</v>
      </c>
      <c r="AT22" s="204">
        <v>6.4250002000000004</v>
      </c>
      <c r="AU22" s="204">
        <v>6.5500002000000004</v>
      </c>
      <c r="AV22" s="204">
        <v>6.6750002000000004</v>
      </c>
      <c r="AW22" s="204">
        <v>6.8000002000000004</v>
      </c>
    </row>
    <row r="23" spans="1:49">
      <c r="A23" s="3" t="s">
        <v>620</v>
      </c>
      <c r="B23" s="3" t="s">
        <v>621</v>
      </c>
      <c r="C23" s="3">
        <v>15</v>
      </c>
      <c r="D23" s="3" t="s">
        <v>541</v>
      </c>
      <c r="E23" s="204">
        <v>3.2</v>
      </c>
      <c r="F23" s="204">
        <v>3.21</v>
      </c>
      <c r="G23" s="204">
        <v>3.22</v>
      </c>
      <c r="H23" s="204">
        <v>3.23</v>
      </c>
      <c r="I23" s="204">
        <v>3.24</v>
      </c>
      <c r="J23" s="204">
        <v>3.25</v>
      </c>
      <c r="K23" s="204">
        <v>3.26</v>
      </c>
      <c r="L23" s="204">
        <v>3.27</v>
      </c>
      <c r="M23" s="204">
        <v>3.28</v>
      </c>
      <c r="N23" s="204">
        <v>3.29</v>
      </c>
      <c r="O23" s="204">
        <v>3.3</v>
      </c>
      <c r="P23" s="204">
        <v>3.3454545000000002</v>
      </c>
      <c r="Q23" s="204">
        <v>3.3909090000000002</v>
      </c>
      <c r="R23" s="204">
        <v>3.4363636</v>
      </c>
      <c r="S23" s="204">
        <v>3.4818180999999999</v>
      </c>
      <c r="T23" s="204">
        <v>3.5272727000000001</v>
      </c>
      <c r="U23" s="204">
        <v>3.5727272000000001</v>
      </c>
      <c r="V23" s="204">
        <v>3.6181817999999999</v>
      </c>
      <c r="W23" s="204">
        <v>3.6636362999999998</v>
      </c>
      <c r="X23" s="204">
        <v>3.7090909000000001</v>
      </c>
      <c r="Y23" s="204">
        <v>3.7545454</v>
      </c>
      <c r="Z23" s="204">
        <v>3.8</v>
      </c>
      <c r="AA23" s="204">
        <v>3.9399999000000001</v>
      </c>
      <c r="AB23" s="204">
        <v>4.0799998999999998</v>
      </c>
      <c r="AC23" s="204">
        <v>4.2199999000000004</v>
      </c>
      <c r="AD23" s="204">
        <v>4.3599999</v>
      </c>
      <c r="AE23" s="204">
        <v>4.4999998999999997</v>
      </c>
      <c r="AF23" s="204">
        <v>4.6399999000000003</v>
      </c>
      <c r="AG23" s="204">
        <v>4.7799999</v>
      </c>
      <c r="AH23" s="204">
        <v>4.9199998000000003</v>
      </c>
      <c r="AI23" s="204">
        <v>5.0599997999999999</v>
      </c>
      <c r="AJ23" s="204">
        <v>5.1999997999999996</v>
      </c>
      <c r="AK23" s="204">
        <v>5.3555554000000001</v>
      </c>
      <c r="AL23" s="204">
        <v>5.5111109000000003</v>
      </c>
      <c r="AM23" s="204">
        <v>5.6666664999999998</v>
      </c>
      <c r="AN23" s="204">
        <v>5.8222221000000003</v>
      </c>
      <c r="AO23" s="204">
        <v>5.9777775999999996</v>
      </c>
      <c r="AP23" s="204">
        <v>6.1333332</v>
      </c>
      <c r="AQ23" s="204">
        <v>6.2888887999999996</v>
      </c>
      <c r="AR23" s="204">
        <v>6.4444442999999998</v>
      </c>
      <c r="AS23" s="204">
        <v>6.5999999000000003</v>
      </c>
      <c r="AT23" s="204">
        <v>6.8</v>
      </c>
      <c r="AU23" s="204">
        <v>7</v>
      </c>
      <c r="AV23" s="204">
        <v>7.2</v>
      </c>
      <c r="AW23" s="204">
        <v>7.4000000999999997</v>
      </c>
    </row>
    <row r="24" spans="1:49">
      <c r="A24" s="3" t="s">
        <v>622</v>
      </c>
      <c r="B24" s="3" t="s">
        <v>925</v>
      </c>
      <c r="C24" s="3">
        <v>16</v>
      </c>
      <c r="D24" s="3" t="s">
        <v>541</v>
      </c>
      <c r="E24" s="204">
        <v>4.3000002000000004</v>
      </c>
      <c r="F24" s="204">
        <v>4.3200002</v>
      </c>
      <c r="G24" s="204">
        <v>4.3400002000000004</v>
      </c>
      <c r="H24" s="204">
        <v>4.3600000999999997</v>
      </c>
      <c r="I24" s="204">
        <v>4.3800001000000002</v>
      </c>
      <c r="J24" s="204">
        <v>4.4000000999999997</v>
      </c>
      <c r="K24" s="204">
        <v>4.4200001000000002</v>
      </c>
      <c r="L24" s="204">
        <v>4.4400000999999998</v>
      </c>
      <c r="M24" s="204">
        <v>4.46</v>
      </c>
      <c r="N24" s="204">
        <v>4.4800000000000004</v>
      </c>
      <c r="O24" s="204">
        <v>4.5</v>
      </c>
      <c r="P24" s="204">
        <v>4.5727273000000004</v>
      </c>
      <c r="Q24" s="204">
        <v>4.6454545999999999</v>
      </c>
      <c r="R24" s="204">
        <v>4.7181819000000003</v>
      </c>
      <c r="S24" s="204">
        <v>4.7909091999999998</v>
      </c>
      <c r="T24" s="204">
        <v>4.8636365000000001</v>
      </c>
      <c r="U24" s="204">
        <v>4.9363637000000002</v>
      </c>
      <c r="V24" s="204">
        <v>5.0090909999999997</v>
      </c>
      <c r="W24" s="204">
        <v>5.0818183000000001</v>
      </c>
      <c r="X24" s="204">
        <v>5.1545455999999996</v>
      </c>
      <c r="Y24" s="204">
        <v>5.2272729</v>
      </c>
      <c r="Z24" s="204">
        <v>5.3000002000000004</v>
      </c>
      <c r="AA24" s="204">
        <v>5.4900001999999999</v>
      </c>
      <c r="AB24" s="204">
        <v>5.6800001</v>
      </c>
      <c r="AC24" s="204">
        <v>5.8700001000000004</v>
      </c>
      <c r="AD24" s="204">
        <v>6.06</v>
      </c>
      <c r="AE24" s="204">
        <v>6.25</v>
      </c>
      <c r="AF24" s="204">
        <v>6.44</v>
      </c>
      <c r="AG24" s="204">
        <v>6.6299998999999996</v>
      </c>
      <c r="AH24" s="204">
        <v>6.8199999</v>
      </c>
      <c r="AI24" s="204">
        <v>7.0099998000000001</v>
      </c>
      <c r="AJ24" s="204">
        <v>7.1999997999999996</v>
      </c>
      <c r="AK24" s="204">
        <v>7.3444443000000001</v>
      </c>
      <c r="AL24" s="204">
        <v>7.4888887000000004</v>
      </c>
      <c r="AM24" s="204">
        <v>7.6333332</v>
      </c>
      <c r="AN24" s="204">
        <v>7.7777776999999997</v>
      </c>
      <c r="AO24" s="204">
        <v>7.9222220999999999</v>
      </c>
      <c r="AP24" s="204">
        <v>8.0666665999999996</v>
      </c>
      <c r="AQ24" s="204">
        <v>8.2111111000000001</v>
      </c>
      <c r="AR24" s="204">
        <v>8.3555554999999995</v>
      </c>
      <c r="AS24" s="204">
        <v>8.5</v>
      </c>
      <c r="AT24" s="204">
        <v>8.6999999999999993</v>
      </c>
      <c r="AU24" s="204">
        <v>8.9000000999999997</v>
      </c>
      <c r="AV24" s="204">
        <v>9.1000001000000008</v>
      </c>
      <c r="AW24" s="204">
        <v>9.3000001999999995</v>
      </c>
    </row>
    <row r="25" spans="1:49">
      <c r="A25" s="3" t="s">
        <v>926</v>
      </c>
      <c r="B25" s="3" t="s">
        <v>927</v>
      </c>
      <c r="C25" s="3">
        <v>17</v>
      </c>
      <c r="D25" s="3" t="s">
        <v>664</v>
      </c>
      <c r="E25" s="204">
        <v>3.7</v>
      </c>
      <c r="F25" s="204">
        <v>3.79</v>
      </c>
      <c r="G25" s="204">
        <v>3.88</v>
      </c>
      <c r="H25" s="204">
        <v>3.97</v>
      </c>
      <c r="I25" s="204">
        <v>4.0599999999999996</v>
      </c>
      <c r="J25" s="204">
        <v>4.1500000000000004</v>
      </c>
      <c r="K25" s="204">
        <v>4.24</v>
      </c>
      <c r="L25" s="204">
        <v>4.3299998999999998</v>
      </c>
      <c r="M25" s="204">
        <v>4.4199998999999996</v>
      </c>
      <c r="N25" s="204">
        <v>4.5099999000000004</v>
      </c>
      <c r="O25" s="204">
        <v>4.5999999000000003</v>
      </c>
      <c r="P25" s="204">
        <v>4.6454544999999996</v>
      </c>
      <c r="Q25" s="204">
        <v>4.6909090000000004</v>
      </c>
      <c r="R25" s="204">
        <v>4.7363635000000004</v>
      </c>
      <c r="S25" s="204">
        <v>4.7818180999999997</v>
      </c>
      <c r="T25" s="204">
        <v>4.8272725999999997</v>
      </c>
      <c r="U25" s="204">
        <v>4.8727271999999999</v>
      </c>
      <c r="V25" s="204">
        <v>4.9181816999999999</v>
      </c>
      <c r="W25" s="204">
        <v>4.9636363000000001</v>
      </c>
      <c r="X25" s="204">
        <v>5.0090908000000001</v>
      </c>
      <c r="Y25" s="204">
        <v>5.0545454000000003</v>
      </c>
      <c r="Z25" s="204">
        <v>5.0999999000000003</v>
      </c>
      <c r="AA25" s="204">
        <v>5.1899999000000001</v>
      </c>
      <c r="AB25" s="204">
        <v>5.2799999</v>
      </c>
      <c r="AC25" s="204">
        <v>5.3699998999999998</v>
      </c>
      <c r="AD25" s="204">
        <v>5.4599998999999997</v>
      </c>
      <c r="AE25" s="204">
        <v>5.55</v>
      </c>
      <c r="AF25" s="204">
        <v>5.64</v>
      </c>
      <c r="AG25" s="204">
        <v>5.73</v>
      </c>
      <c r="AH25" s="204">
        <v>5.82</v>
      </c>
      <c r="AI25" s="204">
        <v>5.91</v>
      </c>
      <c r="AJ25" s="204">
        <v>6</v>
      </c>
      <c r="AK25" s="204">
        <v>6.1111110999999996</v>
      </c>
      <c r="AL25" s="204">
        <v>6.2222222</v>
      </c>
      <c r="AM25" s="204">
        <v>6.3333332999999996</v>
      </c>
      <c r="AN25" s="204">
        <v>6.4444444000000001</v>
      </c>
      <c r="AO25" s="204">
        <v>6.5555555999999999</v>
      </c>
      <c r="AP25" s="204">
        <v>6.6666667000000004</v>
      </c>
      <c r="AQ25" s="204">
        <v>6.7777778</v>
      </c>
      <c r="AR25" s="204">
        <v>6.8888889000000004</v>
      </c>
      <c r="AS25" s="204">
        <v>7</v>
      </c>
      <c r="AT25" s="204">
        <v>7.125</v>
      </c>
      <c r="AU25" s="204">
        <v>7.25</v>
      </c>
      <c r="AV25" s="204">
        <v>7.375</v>
      </c>
      <c r="AW25" s="204">
        <v>7.5</v>
      </c>
    </row>
    <row r="26" spans="1:49">
      <c r="A26" s="3" t="s">
        <v>928</v>
      </c>
      <c r="B26" s="3" t="s">
        <v>929</v>
      </c>
      <c r="C26" s="3">
        <v>18</v>
      </c>
      <c r="D26" s="3" t="s">
        <v>713</v>
      </c>
      <c r="E26" s="204">
        <v>4.9000000999999997</v>
      </c>
      <c r="F26" s="204">
        <v>4.9800000999999998</v>
      </c>
      <c r="G26" s="204">
        <v>5.0599999999999996</v>
      </c>
      <c r="H26" s="204">
        <v>5.14</v>
      </c>
      <c r="I26" s="204">
        <v>5.22</v>
      </c>
      <c r="J26" s="204">
        <v>5.3</v>
      </c>
      <c r="K26" s="204">
        <v>5.3799998999999996</v>
      </c>
      <c r="L26" s="204">
        <v>5.4599998999999997</v>
      </c>
      <c r="M26" s="204">
        <v>5.5399998999999998</v>
      </c>
      <c r="N26" s="204">
        <v>5.6199998000000004</v>
      </c>
      <c r="O26" s="204">
        <v>5.6999997999999996</v>
      </c>
      <c r="P26" s="204">
        <v>5.7818180000000003</v>
      </c>
      <c r="Q26" s="204">
        <v>5.8636362000000002</v>
      </c>
      <c r="R26" s="204">
        <v>5.9454544</v>
      </c>
      <c r="S26" s="204">
        <v>6.0272725999999999</v>
      </c>
      <c r="T26" s="204">
        <v>6.1090907999999997</v>
      </c>
      <c r="U26" s="204">
        <v>6.1909090000000004</v>
      </c>
      <c r="V26" s="204">
        <v>6.2727271</v>
      </c>
      <c r="W26" s="204">
        <v>6.3545452999999998</v>
      </c>
      <c r="X26" s="204">
        <v>6.4363634999999997</v>
      </c>
      <c r="Y26" s="204">
        <v>6.5181817000000004</v>
      </c>
      <c r="Z26" s="204">
        <v>6.5999999000000003</v>
      </c>
      <c r="AA26" s="204">
        <v>6.7299999000000001</v>
      </c>
      <c r="AB26" s="204">
        <v>6.8599999</v>
      </c>
      <c r="AC26" s="204">
        <v>6.99</v>
      </c>
      <c r="AD26" s="204">
        <v>7.12</v>
      </c>
      <c r="AE26" s="204">
        <v>7.25</v>
      </c>
      <c r="AF26" s="204">
        <v>7.38</v>
      </c>
      <c r="AG26" s="204">
        <v>7.51</v>
      </c>
      <c r="AH26" s="204">
        <v>7.6400001</v>
      </c>
      <c r="AI26" s="204">
        <v>7.7700000999999999</v>
      </c>
      <c r="AJ26" s="204">
        <v>7.9000000999999997</v>
      </c>
      <c r="AK26" s="204">
        <v>7.9888890000000004</v>
      </c>
      <c r="AL26" s="204">
        <v>8.0777777999999998</v>
      </c>
      <c r="AM26" s="204">
        <v>8.1666667000000004</v>
      </c>
      <c r="AN26" s="204">
        <v>8.2555554999999998</v>
      </c>
      <c r="AO26" s="204">
        <v>8.3444444000000004</v>
      </c>
      <c r="AP26" s="204">
        <v>8.4333331999999999</v>
      </c>
      <c r="AQ26" s="204">
        <v>8.5222221000000005</v>
      </c>
      <c r="AR26" s="204">
        <v>8.6111109999999993</v>
      </c>
      <c r="AS26" s="204">
        <v>8.6999998000000005</v>
      </c>
      <c r="AT26" s="204">
        <v>8.8749997999999994</v>
      </c>
      <c r="AU26" s="204">
        <v>9.0499997000000008</v>
      </c>
      <c r="AV26" s="204">
        <v>9.2249996999999997</v>
      </c>
      <c r="AW26" s="204">
        <v>9.3999995999999992</v>
      </c>
    </row>
    <row r="27" spans="1:49">
      <c r="A27" s="3" t="s">
        <v>841</v>
      </c>
      <c r="B27" s="3" t="s">
        <v>659</v>
      </c>
      <c r="C27" s="3">
        <v>19</v>
      </c>
      <c r="D27" s="3" t="s">
        <v>713</v>
      </c>
      <c r="E27" s="204">
        <v>5.8000002000000004</v>
      </c>
      <c r="F27" s="204">
        <v>6.0000001999999997</v>
      </c>
      <c r="G27" s="204">
        <v>6.2000001999999999</v>
      </c>
      <c r="H27" s="204">
        <v>6.4000002</v>
      </c>
      <c r="I27" s="204">
        <v>6.6000002000000002</v>
      </c>
      <c r="J27" s="204">
        <v>6.8000002000000004</v>
      </c>
      <c r="K27" s="204">
        <v>7.0000001999999997</v>
      </c>
      <c r="L27" s="204">
        <v>7.2000001999999999</v>
      </c>
      <c r="M27" s="204">
        <v>7.4000002</v>
      </c>
      <c r="N27" s="204">
        <v>7.6000002000000002</v>
      </c>
      <c r="O27" s="204">
        <v>7.8000002000000004</v>
      </c>
      <c r="P27" s="204">
        <v>7.7545456000000001</v>
      </c>
      <c r="Q27" s="204">
        <v>7.7090911000000002</v>
      </c>
      <c r="R27" s="204">
        <v>7.6636366000000002</v>
      </c>
      <c r="S27" s="204">
        <v>7.618182</v>
      </c>
      <c r="T27" s="204">
        <v>7.5727275000000001</v>
      </c>
      <c r="U27" s="204">
        <v>7.5272728999999998</v>
      </c>
      <c r="V27" s="204">
        <v>7.4818183999999999</v>
      </c>
      <c r="W27" s="204">
        <v>7.4363637999999996</v>
      </c>
      <c r="X27" s="204">
        <v>7.3909092999999997</v>
      </c>
      <c r="Y27" s="204">
        <v>7.3454547000000003</v>
      </c>
      <c r="Z27" s="204">
        <v>7.3000002000000004</v>
      </c>
      <c r="AA27" s="204">
        <v>7.3400002000000004</v>
      </c>
      <c r="AB27" s="204">
        <v>7.3800001000000002</v>
      </c>
      <c r="AC27" s="204">
        <v>7.4200001000000002</v>
      </c>
      <c r="AD27" s="204">
        <v>7.46</v>
      </c>
      <c r="AE27" s="204">
        <v>7.5</v>
      </c>
      <c r="AF27" s="204">
        <v>7.54</v>
      </c>
      <c r="AG27" s="204">
        <v>7.5799998999999998</v>
      </c>
      <c r="AH27" s="204">
        <v>7.6199998999999998</v>
      </c>
      <c r="AI27" s="204">
        <v>7.6599997999999996</v>
      </c>
      <c r="AJ27" s="204">
        <v>7.6999997999999996</v>
      </c>
      <c r="AK27" s="204">
        <v>7.8111109000000001</v>
      </c>
      <c r="AL27" s="204">
        <v>7.9222219999999997</v>
      </c>
      <c r="AM27" s="204">
        <v>8.0333331000000001</v>
      </c>
      <c r="AN27" s="204">
        <v>8.1444443</v>
      </c>
      <c r="AO27" s="204">
        <v>8.2555554000000004</v>
      </c>
      <c r="AP27" s="204">
        <v>8.3666664999999991</v>
      </c>
      <c r="AQ27" s="204">
        <v>8.4777775999999996</v>
      </c>
      <c r="AR27" s="204">
        <v>8.5888887</v>
      </c>
      <c r="AS27" s="204">
        <v>8.6999998000000005</v>
      </c>
      <c r="AT27" s="204">
        <v>8.9250000000000007</v>
      </c>
      <c r="AU27" s="204">
        <v>9.1500000999999997</v>
      </c>
      <c r="AV27" s="204">
        <v>9.3750002000000006</v>
      </c>
      <c r="AW27" s="204">
        <v>9.6000004000000008</v>
      </c>
    </row>
    <row r="28" spans="1:49">
      <c r="A28" s="3" t="s">
        <v>660</v>
      </c>
      <c r="B28" s="3" t="s">
        <v>661</v>
      </c>
      <c r="C28" s="3">
        <v>20</v>
      </c>
      <c r="D28" s="3" t="s">
        <v>541</v>
      </c>
      <c r="E28" s="204">
        <v>3.5</v>
      </c>
      <c r="F28" s="204">
        <v>3.49</v>
      </c>
      <c r="G28" s="204">
        <v>3.48</v>
      </c>
      <c r="H28" s="204">
        <v>3.47</v>
      </c>
      <c r="I28" s="204">
        <v>3.46</v>
      </c>
      <c r="J28" s="204">
        <v>3.45</v>
      </c>
      <c r="K28" s="204">
        <v>3.4400000999999998</v>
      </c>
      <c r="L28" s="204">
        <v>3.4300001</v>
      </c>
      <c r="M28" s="204">
        <v>3.4200001000000002</v>
      </c>
      <c r="N28" s="204">
        <v>3.4100001</v>
      </c>
      <c r="O28" s="204">
        <v>3.4000001000000002</v>
      </c>
      <c r="P28" s="204">
        <v>3.4363636999999998</v>
      </c>
      <c r="Q28" s="204">
        <v>3.4727272999999999</v>
      </c>
      <c r="R28" s="204">
        <v>3.5090910000000002</v>
      </c>
      <c r="S28" s="204">
        <v>3.5454545999999998</v>
      </c>
      <c r="T28" s="204">
        <v>3.5818181999999998</v>
      </c>
      <c r="U28" s="204">
        <v>3.6181817999999999</v>
      </c>
      <c r="V28" s="204">
        <v>3.6545454999999998</v>
      </c>
      <c r="W28" s="204">
        <v>3.6909090999999998</v>
      </c>
      <c r="X28" s="204">
        <v>3.7272726999999999</v>
      </c>
      <c r="Y28" s="204">
        <v>3.7636362999999999</v>
      </c>
      <c r="Z28" s="204">
        <v>3.8</v>
      </c>
      <c r="AA28" s="204">
        <v>3.9299998999999999</v>
      </c>
      <c r="AB28" s="204">
        <v>4.0599999000000002</v>
      </c>
      <c r="AC28" s="204">
        <v>4.1899999000000001</v>
      </c>
      <c r="AD28" s="204">
        <v>4.3199999</v>
      </c>
      <c r="AE28" s="204">
        <v>4.4499998999999999</v>
      </c>
      <c r="AF28" s="204">
        <v>4.5799998999999998</v>
      </c>
      <c r="AG28" s="204">
        <v>4.7099998999999997</v>
      </c>
      <c r="AH28" s="204">
        <v>4.8399998999999996</v>
      </c>
      <c r="AI28" s="204">
        <v>4.9699999000000004</v>
      </c>
      <c r="AJ28" s="204">
        <v>5.0999999000000003</v>
      </c>
      <c r="AK28" s="204">
        <v>5.1222222000000004</v>
      </c>
      <c r="AL28" s="204">
        <v>5.1444444000000003</v>
      </c>
      <c r="AM28" s="204">
        <v>5.1666667000000004</v>
      </c>
      <c r="AN28" s="204">
        <v>5.1888889000000002</v>
      </c>
      <c r="AO28" s="204">
        <v>5.2111112000000004</v>
      </c>
      <c r="AP28" s="204">
        <v>5.2333334000000002</v>
      </c>
      <c r="AQ28" s="204">
        <v>5.2555557000000004</v>
      </c>
      <c r="AR28" s="204">
        <v>5.2777779000000002</v>
      </c>
      <c r="AS28" s="204">
        <v>5.3000002000000004</v>
      </c>
      <c r="AT28" s="204">
        <v>5.3750001000000003</v>
      </c>
      <c r="AU28" s="204">
        <v>5.45</v>
      </c>
      <c r="AV28" s="204">
        <v>5.5250000000000004</v>
      </c>
      <c r="AW28" s="204">
        <v>5.5999999000000003</v>
      </c>
    </row>
    <row r="29" spans="1:49">
      <c r="A29" s="3" t="s">
        <v>80</v>
      </c>
      <c r="B29" s="3" t="s">
        <v>747</v>
      </c>
      <c r="C29" s="3">
        <v>21</v>
      </c>
      <c r="D29" s="3" t="s">
        <v>759</v>
      </c>
      <c r="E29" s="204">
        <v>8</v>
      </c>
      <c r="F29" s="204">
        <v>8.15</v>
      </c>
      <c r="G29" s="204">
        <v>8.3000000000000007</v>
      </c>
      <c r="H29" s="204">
        <v>8.4499999999999993</v>
      </c>
      <c r="I29" s="204">
        <v>8.6</v>
      </c>
      <c r="J29" s="204">
        <v>8.75</v>
      </c>
      <c r="K29" s="204">
        <v>8.9</v>
      </c>
      <c r="L29" s="204">
        <v>9.0500000000000007</v>
      </c>
      <c r="M29" s="204">
        <v>9.1999999999999993</v>
      </c>
      <c r="N29" s="204">
        <v>9.35</v>
      </c>
      <c r="O29" s="204">
        <v>9.5</v>
      </c>
      <c r="P29" s="204">
        <v>9.5909090999999993</v>
      </c>
      <c r="Q29" s="204">
        <v>9.6818182000000004</v>
      </c>
      <c r="R29" s="204">
        <v>9.7727272999999997</v>
      </c>
      <c r="S29" s="204">
        <v>9.8636364000000007</v>
      </c>
      <c r="T29" s="204">
        <v>9.9545455</v>
      </c>
      <c r="U29" s="204">
        <v>10.045455</v>
      </c>
      <c r="V29" s="204">
        <v>10.136364</v>
      </c>
      <c r="W29" s="204">
        <v>10.227273</v>
      </c>
      <c r="X29" s="204">
        <v>10.318182</v>
      </c>
      <c r="Y29" s="204">
        <v>10.409091</v>
      </c>
      <c r="Z29" s="204">
        <v>10.5</v>
      </c>
      <c r="AA29" s="204">
        <v>10.61</v>
      </c>
      <c r="AB29" s="204">
        <v>10.72</v>
      </c>
      <c r="AC29" s="204">
        <v>10.83</v>
      </c>
      <c r="AD29" s="204">
        <v>10.94</v>
      </c>
      <c r="AE29" s="204">
        <v>11.05</v>
      </c>
      <c r="AF29" s="204">
        <v>11.16</v>
      </c>
      <c r="AG29" s="204">
        <v>11.27</v>
      </c>
      <c r="AH29" s="204">
        <v>11.38</v>
      </c>
      <c r="AI29" s="204">
        <v>11.49</v>
      </c>
      <c r="AJ29" s="204">
        <v>11.6</v>
      </c>
      <c r="AK29" s="204">
        <v>11.622223</v>
      </c>
      <c r="AL29" s="204">
        <v>11.644444999999999</v>
      </c>
      <c r="AM29" s="204">
        <v>11.666667</v>
      </c>
      <c r="AN29" s="204">
        <v>11.688889</v>
      </c>
      <c r="AO29" s="204">
        <v>11.711111000000001</v>
      </c>
      <c r="AP29" s="204">
        <v>11.733333999999999</v>
      </c>
      <c r="AQ29" s="204">
        <v>11.755556</v>
      </c>
      <c r="AR29" s="204">
        <v>11.777778</v>
      </c>
      <c r="AS29" s="204">
        <v>11.8</v>
      </c>
      <c r="AT29" s="204">
        <v>11.875</v>
      </c>
      <c r="AU29" s="204">
        <v>11.95</v>
      </c>
      <c r="AV29" s="204">
        <v>12.025</v>
      </c>
      <c r="AW29" s="204">
        <v>12.1</v>
      </c>
    </row>
    <row r="30" spans="1:49">
      <c r="A30" s="3" t="s">
        <v>721</v>
      </c>
      <c r="B30" s="3" t="s">
        <v>722</v>
      </c>
      <c r="C30" s="3">
        <v>22</v>
      </c>
      <c r="D30" s="3" t="s">
        <v>664</v>
      </c>
      <c r="E30" s="204">
        <v>5.8000002000000004</v>
      </c>
      <c r="F30" s="204">
        <v>5.9000002</v>
      </c>
      <c r="G30" s="204">
        <v>6.0000001999999997</v>
      </c>
      <c r="H30" s="204">
        <v>6.1000002000000002</v>
      </c>
      <c r="I30" s="204">
        <v>6.2000001999999999</v>
      </c>
      <c r="J30" s="204">
        <v>6.3000002000000004</v>
      </c>
      <c r="K30" s="204">
        <v>6.4000002</v>
      </c>
      <c r="L30" s="204">
        <v>6.5000001999999997</v>
      </c>
      <c r="M30" s="204">
        <v>6.6000002000000002</v>
      </c>
      <c r="N30" s="204">
        <v>6.7000001999999999</v>
      </c>
      <c r="O30" s="204">
        <v>6.8000002000000004</v>
      </c>
      <c r="P30" s="204">
        <v>6.8090910999999998</v>
      </c>
      <c r="Q30" s="204">
        <v>6.8181820000000002</v>
      </c>
      <c r="R30" s="204">
        <v>6.8272728999999996</v>
      </c>
      <c r="S30" s="204">
        <v>6.8363638</v>
      </c>
      <c r="T30" s="204">
        <v>6.8454547000000003</v>
      </c>
      <c r="U30" s="204">
        <v>6.8545455999999998</v>
      </c>
      <c r="V30" s="204">
        <v>6.8636365000000001</v>
      </c>
      <c r="W30" s="204">
        <v>6.8727273999999996</v>
      </c>
      <c r="X30" s="204">
        <v>6.8818182999999999</v>
      </c>
      <c r="Y30" s="204">
        <v>6.8909092000000003</v>
      </c>
      <c r="Z30" s="204">
        <v>6.9000000999999997</v>
      </c>
      <c r="AA30" s="204">
        <v>6.9200001000000002</v>
      </c>
      <c r="AB30" s="204">
        <v>6.9400000999999998</v>
      </c>
      <c r="AC30" s="204">
        <v>6.96</v>
      </c>
      <c r="AD30" s="204">
        <v>6.98</v>
      </c>
      <c r="AE30" s="204">
        <v>7</v>
      </c>
      <c r="AF30" s="204">
        <v>7.02</v>
      </c>
      <c r="AG30" s="204">
        <v>7.04</v>
      </c>
      <c r="AH30" s="204">
        <v>7.0599999000000002</v>
      </c>
      <c r="AI30" s="204">
        <v>7.0799998999999998</v>
      </c>
      <c r="AJ30" s="204">
        <v>7.0999999000000003</v>
      </c>
      <c r="AK30" s="204">
        <v>7.1666666000000001</v>
      </c>
      <c r="AL30" s="204">
        <v>7.2333331999999997</v>
      </c>
      <c r="AM30" s="204">
        <v>7.2999999000000004</v>
      </c>
      <c r="AN30" s="204">
        <v>7.3666665</v>
      </c>
      <c r="AO30" s="204">
        <v>7.4333331999999999</v>
      </c>
      <c r="AP30" s="204">
        <v>7.4999998000000003</v>
      </c>
      <c r="AQ30" s="204">
        <v>7.5666665000000002</v>
      </c>
      <c r="AR30" s="204">
        <v>7.6333332</v>
      </c>
      <c r="AS30" s="204">
        <v>7.6999997999999996</v>
      </c>
      <c r="AT30" s="204">
        <v>7.8</v>
      </c>
      <c r="AU30" s="204">
        <v>7.9000000999999997</v>
      </c>
      <c r="AV30" s="204">
        <v>8.0000002000000006</v>
      </c>
      <c r="AW30" s="204">
        <v>8.1000004000000008</v>
      </c>
    </row>
    <row r="31" spans="1:49">
      <c r="A31" s="3" t="s">
        <v>723</v>
      </c>
      <c r="B31" s="3" t="s">
        <v>724</v>
      </c>
      <c r="C31" s="3">
        <v>23</v>
      </c>
      <c r="D31" s="3" t="s">
        <v>541</v>
      </c>
      <c r="E31" s="204">
        <v>2.2000000000000002</v>
      </c>
      <c r="F31" s="204">
        <v>2.19</v>
      </c>
      <c r="G31" s="204">
        <v>2.1800000000000002</v>
      </c>
      <c r="H31" s="204">
        <v>2.17</v>
      </c>
      <c r="I31" s="204">
        <v>2.16</v>
      </c>
      <c r="J31" s="204">
        <v>2.15</v>
      </c>
      <c r="K31" s="204">
        <v>2.14</v>
      </c>
      <c r="L31" s="204">
        <v>2.1299999000000001</v>
      </c>
      <c r="M31" s="204">
        <v>2.1199998999999998</v>
      </c>
      <c r="N31" s="204">
        <v>2.1099999</v>
      </c>
      <c r="O31" s="204">
        <v>2.0999998999999998</v>
      </c>
      <c r="P31" s="204">
        <v>2.0545453999999999</v>
      </c>
      <c r="Q31" s="204">
        <v>2.0090908000000001</v>
      </c>
      <c r="R31" s="204">
        <v>1.9636362999999999</v>
      </c>
      <c r="S31" s="204">
        <v>1.9181817999999999</v>
      </c>
      <c r="T31" s="204">
        <v>1.8727271999999999</v>
      </c>
      <c r="U31" s="204">
        <v>1.8272727</v>
      </c>
      <c r="V31" s="204">
        <v>1.7818182</v>
      </c>
      <c r="W31" s="204">
        <v>1.7363636</v>
      </c>
      <c r="X31" s="204">
        <v>1.6909091000000001</v>
      </c>
      <c r="Y31" s="204">
        <v>1.6454546000000001</v>
      </c>
      <c r="Z31" s="204">
        <v>1.6</v>
      </c>
      <c r="AA31" s="204">
        <v>1.73</v>
      </c>
      <c r="AB31" s="204">
        <v>1.86</v>
      </c>
      <c r="AC31" s="204">
        <v>1.99</v>
      </c>
      <c r="AD31" s="204">
        <v>2.1200000999999999</v>
      </c>
      <c r="AE31" s="204">
        <v>2.2500000999999998</v>
      </c>
      <c r="AF31" s="204">
        <v>2.3800001000000002</v>
      </c>
      <c r="AG31" s="204">
        <v>2.5100001000000001</v>
      </c>
      <c r="AH31" s="204">
        <v>2.6400001</v>
      </c>
      <c r="AI31" s="204">
        <v>2.7700000999999999</v>
      </c>
      <c r="AJ31" s="204">
        <v>2.9000001000000002</v>
      </c>
      <c r="AK31" s="204">
        <v>3.0000000999999998</v>
      </c>
      <c r="AL31" s="204">
        <v>3.1000000999999999</v>
      </c>
      <c r="AM31" s="204">
        <v>3.2</v>
      </c>
      <c r="AN31" s="204">
        <v>3.3</v>
      </c>
      <c r="AO31" s="204">
        <v>3.4</v>
      </c>
      <c r="AP31" s="204">
        <v>3.5</v>
      </c>
      <c r="AQ31" s="204">
        <v>3.6</v>
      </c>
      <c r="AR31" s="204">
        <v>3.7</v>
      </c>
      <c r="AS31" s="204">
        <v>3.8</v>
      </c>
      <c r="AT31" s="204">
        <v>3.9750000000000001</v>
      </c>
      <c r="AU31" s="204">
        <v>4.1500000000000004</v>
      </c>
      <c r="AV31" s="204">
        <v>4.3250000000000002</v>
      </c>
      <c r="AW31" s="204">
        <v>4.5</v>
      </c>
    </row>
    <row r="32" spans="1:49">
      <c r="A32" s="3" t="s">
        <v>725</v>
      </c>
      <c r="B32" s="3" t="s">
        <v>726</v>
      </c>
      <c r="C32" s="3">
        <v>24</v>
      </c>
      <c r="D32" s="3" t="s">
        <v>664</v>
      </c>
      <c r="E32" s="204">
        <v>5.0999999000000003</v>
      </c>
      <c r="F32" s="204">
        <v>5.1799999000000003</v>
      </c>
      <c r="G32" s="204">
        <v>5.2599999000000004</v>
      </c>
      <c r="H32" s="204">
        <v>5.34</v>
      </c>
      <c r="I32" s="204">
        <v>5.42</v>
      </c>
      <c r="J32" s="204">
        <v>5.5</v>
      </c>
      <c r="K32" s="204">
        <v>5.58</v>
      </c>
      <c r="L32" s="204">
        <v>5.66</v>
      </c>
      <c r="M32" s="204">
        <v>5.7400000999999996</v>
      </c>
      <c r="N32" s="204">
        <v>5.8200000999999997</v>
      </c>
      <c r="O32" s="204">
        <v>5.9000000999999997</v>
      </c>
      <c r="P32" s="204">
        <v>5.9363637000000002</v>
      </c>
      <c r="Q32" s="204">
        <v>5.9727274000000001</v>
      </c>
      <c r="R32" s="204">
        <v>6.0090909999999997</v>
      </c>
      <c r="S32" s="204">
        <v>6.0454546999999996</v>
      </c>
      <c r="T32" s="204">
        <v>6.0818183000000001</v>
      </c>
      <c r="U32" s="204">
        <v>6.118182</v>
      </c>
      <c r="V32" s="204">
        <v>6.1545455999999996</v>
      </c>
      <c r="W32" s="204">
        <v>6.1909093000000004</v>
      </c>
      <c r="X32" s="204">
        <v>6.2272729</v>
      </c>
      <c r="Y32" s="204">
        <v>6.2636364999999996</v>
      </c>
      <c r="Z32" s="204">
        <v>6.3000002000000004</v>
      </c>
      <c r="AA32" s="204">
        <v>6.4200001999999996</v>
      </c>
      <c r="AB32" s="204">
        <v>6.5400001999999997</v>
      </c>
      <c r="AC32" s="204">
        <v>6.6600001000000004</v>
      </c>
      <c r="AD32" s="204">
        <v>6.7800000999999996</v>
      </c>
      <c r="AE32" s="204">
        <v>6.9000000999999997</v>
      </c>
      <c r="AF32" s="204">
        <v>7.0200000999999999</v>
      </c>
      <c r="AG32" s="204">
        <v>7.1400001</v>
      </c>
      <c r="AH32" s="204">
        <v>7.26</v>
      </c>
      <c r="AI32" s="204">
        <v>7.38</v>
      </c>
      <c r="AJ32" s="204">
        <v>7.5</v>
      </c>
      <c r="AK32" s="204">
        <v>7.5555555999999999</v>
      </c>
      <c r="AL32" s="204">
        <v>7.6111110999999996</v>
      </c>
      <c r="AM32" s="204">
        <v>7.6666667000000004</v>
      </c>
      <c r="AN32" s="204">
        <v>7.7222222</v>
      </c>
      <c r="AO32" s="204">
        <v>7.7777778</v>
      </c>
      <c r="AP32" s="204">
        <v>7.8333332999999996</v>
      </c>
      <c r="AQ32" s="204">
        <v>7.8888889000000004</v>
      </c>
      <c r="AR32" s="204">
        <v>7.9444444000000001</v>
      </c>
      <c r="AS32" s="204">
        <v>8</v>
      </c>
      <c r="AT32" s="204">
        <v>8.1500000999999997</v>
      </c>
      <c r="AU32" s="204">
        <v>8.3000001999999995</v>
      </c>
      <c r="AV32" s="204">
        <v>8.4500002999999992</v>
      </c>
      <c r="AW32" s="204">
        <v>8.6000004000000008</v>
      </c>
    </row>
    <row r="33" spans="1:49">
      <c r="A33" s="3"/>
      <c r="B33" s="3"/>
      <c r="C33" s="3"/>
      <c r="D33" s="3"/>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row>
    <row r="34" spans="1:49">
      <c r="A34" s="3" t="s">
        <v>727</v>
      </c>
      <c r="B34" s="3"/>
      <c r="C34" s="3"/>
      <c r="D34" s="3"/>
      <c r="E34" s="204">
        <v>7</v>
      </c>
      <c r="F34" s="204">
        <v>7.12</v>
      </c>
      <c r="G34" s="204">
        <v>7.24</v>
      </c>
      <c r="H34" s="204">
        <v>7.3599999</v>
      </c>
      <c r="I34" s="204">
        <v>7.4799999000000001</v>
      </c>
      <c r="J34" s="204">
        <v>7.5999999000000003</v>
      </c>
      <c r="K34" s="204">
        <v>7.7199999000000004</v>
      </c>
      <c r="L34" s="204">
        <v>7.8399998999999996</v>
      </c>
      <c r="M34" s="204">
        <v>7.9599998000000003</v>
      </c>
      <c r="N34" s="204">
        <v>8.0799997999999995</v>
      </c>
      <c r="O34" s="204">
        <v>8.1999998000000005</v>
      </c>
      <c r="P34" s="204">
        <v>8.2636362000000005</v>
      </c>
      <c r="Q34" s="204">
        <v>8.3272724999999994</v>
      </c>
      <c r="R34" s="204">
        <v>8.3909088000000001</v>
      </c>
      <c r="S34" s="204">
        <v>8.4545452000000001</v>
      </c>
      <c r="T34" s="204">
        <v>8.5181815000000007</v>
      </c>
      <c r="U34" s="204">
        <v>8.5818179000000008</v>
      </c>
      <c r="V34" s="204">
        <v>8.6454541999999996</v>
      </c>
      <c r="W34" s="204">
        <v>8.7090905999999997</v>
      </c>
      <c r="X34" s="204">
        <v>8.7727269000000003</v>
      </c>
      <c r="Y34" s="204">
        <v>8.8363633000000004</v>
      </c>
      <c r="Z34" s="204">
        <v>8.8999995999999992</v>
      </c>
      <c r="AA34" s="204">
        <v>8.9999996000000007</v>
      </c>
      <c r="AB34" s="204">
        <v>9.0999996000000003</v>
      </c>
      <c r="AC34" s="204">
        <v>9.1999995999999999</v>
      </c>
      <c r="AD34" s="204">
        <v>9.2999995999999996</v>
      </c>
      <c r="AE34" s="204">
        <v>9.3999995999999992</v>
      </c>
      <c r="AF34" s="204">
        <v>9.4999996000000007</v>
      </c>
      <c r="AG34" s="204">
        <v>9.5999996000000003</v>
      </c>
      <c r="AH34" s="204">
        <v>9.6999995999999999</v>
      </c>
      <c r="AI34" s="204">
        <v>9.7999995999999996</v>
      </c>
      <c r="AJ34" s="204">
        <v>9.8999995999999992</v>
      </c>
      <c r="AK34" s="204">
        <v>9.9333329999999993</v>
      </c>
      <c r="AL34" s="204">
        <v>9.9666663</v>
      </c>
      <c r="AM34" s="204">
        <v>9.9999997</v>
      </c>
      <c r="AN34" s="204">
        <v>10.033333000000001</v>
      </c>
      <c r="AO34" s="204">
        <v>10.066666</v>
      </c>
      <c r="AP34" s="204">
        <v>10.1</v>
      </c>
      <c r="AQ34" s="204">
        <v>10.133333</v>
      </c>
      <c r="AR34" s="204">
        <v>10.166665999999999</v>
      </c>
      <c r="AS34" s="204">
        <v>10.199999999999999</v>
      </c>
      <c r="AT34" s="204">
        <v>10.3</v>
      </c>
      <c r="AU34" s="204">
        <v>10.4</v>
      </c>
      <c r="AV34" s="204">
        <v>10.5</v>
      </c>
      <c r="AW34" s="204">
        <v>10.6</v>
      </c>
    </row>
    <row r="35" spans="1:49" ht="297">
      <c r="A35" s="7" t="s">
        <v>728</v>
      </c>
      <c r="E35" s="1" t="s">
        <v>3014</v>
      </c>
      <c r="F35" s="1" t="s">
        <v>3015</v>
      </c>
      <c r="G35" s="1" t="s">
        <v>3015</v>
      </c>
      <c r="H35" s="1" t="s">
        <v>3015</v>
      </c>
      <c r="I35" s="1" t="s">
        <v>3015</v>
      </c>
      <c r="J35" s="1" t="s">
        <v>3015</v>
      </c>
      <c r="K35" s="1" t="s">
        <v>3015</v>
      </c>
      <c r="L35" s="1" t="s">
        <v>3015</v>
      </c>
      <c r="M35" s="1" t="s">
        <v>3015</v>
      </c>
      <c r="N35" s="1" t="s">
        <v>3015</v>
      </c>
      <c r="O35" s="1" t="s">
        <v>3014</v>
      </c>
      <c r="P35" s="1" t="s">
        <v>3080</v>
      </c>
      <c r="Q35" s="1" t="s">
        <v>3080</v>
      </c>
      <c r="R35" s="1" t="s">
        <v>3080</v>
      </c>
      <c r="S35" s="1" t="s">
        <v>3080</v>
      </c>
      <c r="T35" s="1" t="s">
        <v>3080</v>
      </c>
      <c r="U35" s="1" t="s">
        <v>3080</v>
      </c>
      <c r="V35" s="1" t="s">
        <v>3080</v>
      </c>
      <c r="W35" s="1" t="s">
        <v>3080</v>
      </c>
      <c r="X35" s="1" t="s">
        <v>3080</v>
      </c>
      <c r="Y35" s="1" t="s">
        <v>3080</v>
      </c>
      <c r="Z35" s="1" t="s">
        <v>3014</v>
      </c>
      <c r="AA35" s="1" t="s">
        <v>3081</v>
      </c>
      <c r="AB35" s="1" t="s">
        <v>3081</v>
      </c>
      <c r="AC35" s="1" t="s">
        <v>3081</v>
      </c>
      <c r="AD35" s="1" t="s">
        <v>3081</v>
      </c>
      <c r="AE35" s="1" t="s">
        <v>3081</v>
      </c>
      <c r="AF35" s="1" t="s">
        <v>3081</v>
      </c>
      <c r="AG35" s="1" t="s">
        <v>3081</v>
      </c>
      <c r="AH35" s="1" t="s">
        <v>3081</v>
      </c>
      <c r="AI35" s="1" t="s">
        <v>3081</v>
      </c>
      <c r="AJ35" s="1" t="s">
        <v>3014</v>
      </c>
      <c r="AK35" s="1" t="s">
        <v>3082</v>
      </c>
      <c r="AL35" s="1" t="s">
        <v>3082</v>
      </c>
      <c r="AM35" s="1" t="s">
        <v>3082</v>
      </c>
      <c r="AN35" s="1" t="s">
        <v>3082</v>
      </c>
      <c r="AO35" s="1" t="s">
        <v>3082</v>
      </c>
      <c r="AP35" s="1" t="s">
        <v>3082</v>
      </c>
      <c r="AQ35" s="1" t="s">
        <v>3082</v>
      </c>
      <c r="AR35" s="1" t="s">
        <v>3082</v>
      </c>
      <c r="AS35" s="1" t="s">
        <v>3014</v>
      </c>
      <c r="AT35" s="1" t="s">
        <v>3083</v>
      </c>
      <c r="AU35" s="1" t="s">
        <v>3083</v>
      </c>
      <c r="AV35" s="1" t="s">
        <v>3083</v>
      </c>
      <c r="AW35" s="1" t="s">
        <v>3013</v>
      </c>
    </row>
    <row r="36" spans="1:49">
      <c r="E36" s="202"/>
    </row>
    <row r="37" spans="1:49">
      <c r="E37" s="203" t="s">
        <v>3016</v>
      </c>
    </row>
    <row r="38" spans="1:49">
      <c r="E38" s="203" t="s">
        <v>3017</v>
      </c>
    </row>
    <row r="39" spans="1:49">
      <c r="E39" s="203" t="s">
        <v>3018</v>
      </c>
    </row>
    <row r="40" spans="1:49">
      <c r="E40" s="203" t="s">
        <v>3019</v>
      </c>
    </row>
    <row r="41" spans="1:49">
      <c r="E41" s="203" t="s">
        <v>3020</v>
      </c>
    </row>
    <row r="42" spans="1:49">
      <c r="E42" s="203" t="s">
        <v>3021</v>
      </c>
    </row>
    <row r="43" spans="1:49">
      <c r="E43" s="203" t="s">
        <v>3022</v>
      </c>
    </row>
    <row r="44" spans="1:49">
      <c r="E44" s="203" t="s">
        <v>3023</v>
      </c>
    </row>
    <row r="45" spans="1:49">
      <c r="E45" s="203" t="s">
        <v>3024</v>
      </c>
    </row>
    <row r="46" spans="1:49">
      <c r="E46" s="203" t="s">
        <v>3025</v>
      </c>
    </row>
    <row r="47" spans="1:49">
      <c r="E47" s="203" t="s">
        <v>3026</v>
      </c>
    </row>
    <row r="48" spans="1:49">
      <c r="E48" s="203" t="s">
        <v>3027</v>
      </c>
    </row>
    <row r="49" spans="5:5" customFormat="1">
      <c r="E49" s="203" t="s">
        <v>3028</v>
      </c>
    </row>
    <row r="50" spans="5:5" customFormat="1">
      <c r="E50" s="203" t="s">
        <v>3029</v>
      </c>
    </row>
    <row r="51" spans="5:5" customFormat="1">
      <c r="E51" s="203" t="s">
        <v>3030</v>
      </c>
    </row>
    <row r="52" spans="5:5" customFormat="1">
      <c r="E52" s="203" t="s">
        <v>3031</v>
      </c>
    </row>
    <row r="53" spans="5:5" customFormat="1">
      <c r="E53" s="203" t="s">
        <v>3032</v>
      </c>
    </row>
    <row r="54" spans="5:5" customFormat="1">
      <c r="E54" s="203" t="s">
        <v>3033</v>
      </c>
    </row>
    <row r="55" spans="5:5" customFormat="1">
      <c r="E55" s="203" t="s">
        <v>3034</v>
      </c>
    </row>
    <row r="56" spans="5:5" customFormat="1">
      <c r="E56" s="203" t="s">
        <v>3035</v>
      </c>
    </row>
    <row r="57" spans="5:5" customFormat="1">
      <c r="E57" s="203" t="s">
        <v>3036</v>
      </c>
    </row>
    <row r="58" spans="5:5" customFormat="1">
      <c r="E58" s="203" t="s">
        <v>3037</v>
      </c>
    </row>
    <row r="59" spans="5:5" customFormat="1">
      <c r="E59" s="203" t="s">
        <v>3038</v>
      </c>
    </row>
    <row r="60" spans="5:5" customFormat="1">
      <c r="E60" s="203" t="s">
        <v>3039</v>
      </c>
    </row>
    <row r="61" spans="5:5" customFormat="1">
      <c r="E61" s="203"/>
    </row>
    <row r="62" spans="5:5" customFormat="1">
      <c r="E62" s="203" t="s">
        <v>3040</v>
      </c>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workbookViewId="0"/>
  </sheetViews>
  <sheetFormatPr baseColWidth="10" defaultRowHeight="13" x14ac:dyDescent="0"/>
  <cols>
    <col min="1" max="1" width="17.140625" bestFit="1" customWidth="1"/>
    <col min="2" max="2" width="4.5703125" bestFit="1" customWidth="1"/>
    <col min="3" max="3" width="2.7109375" bestFit="1" customWidth="1"/>
    <col min="4" max="4" width="6.5703125" bestFit="1" customWidth="1"/>
    <col min="5" max="14" width="11.5703125" style="6" customWidth="1"/>
    <col min="15" max="19" width="11.5703125" customWidth="1"/>
  </cols>
  <sheetData>
    <row r="1" spans="1:55">
      <c r="A1" s="137" t="s">
        <v>2404</v>
      </c>
      <c r="B1" s="3"/>
      <c r="C1" s="3"/>
      <c r="D1" s="3"/>
      <c r="E1"/>
    </row>
    <row r="2" spans="1:55">
      <c r="A2" s="1" t="s">
        <v>614</v>
      </c>
      <c r="B2" s="1"/>
      <c r="C2" s="1"/>
      <c r="D2" s="1"/>
      <c r="E2" s="2" t="s">
        <v>610</v>
      </c>
      <c r="F2" s="2" t="s">
        <v>610</v>
      </c>
      <c r="G2" s="2" t="s">
        <v>610</v>
      </c>
      <c r="H2" s="2" t="s">
        <v>610</v>
      </c>
      <c r="I2" s="2" t="s">
        <v>610</v>
      </c>
      <c r="J2" s="2" t="s">
        <v>610</v>
      </c>
      <c r="K2" s="2" t="s">
        <v>610</v>
      </c>
      <c r="L2" s="2" t="s">
        <v>610</v>
      </c>
      <c r="M2" s="2" t="s">
        <v>610</v>
      </c>
      <c r="N2" s="2" t="s">
        <v>610</v>
      </c>
      <c r="O2" s="2" t="s">
        <v>610</v>
      </c>
      <c r="P2" s="2" t="s">
        <v>610</v>
      </c>
      <c r="Q2" s="2" t="s">
        <v>610</v>
      </c>
      <c r="R2" s="2" t="s">
        <v>610</v>
      </c>
      <c r="S2" s="2" t="s">
        <v>610</v>
      </c>
      <c r="T2" s="2" t="s">
        <v>610</v>
      </c>
      <c r="U2" s="2" t="s">
        <v>610</v>
      </c>
      <c r="V2" s="2" t="s">
        <v>610</v>
      </c>
      <c r="W2" s="2" t="s">
        <v>610</v>
      </c>
      <c r="X2" s="2" t="s">
        <v>610</v>
      </c>
      <c r="Y2" s="2" t="s">
        <v>610</v>
      </c>
      <c r="Z2" s="2" t="s">
        <v>610</v>
      </c>
      <c r="AA2" s="2" t="s">
        <v>610</v>
      </c>
      <c r="AB2" s="2" t="s">
        <v>610</v>
      </c>
      <c r="AC2" s="2" t="s">
        <v>610</v>
      </c>
      <c r="AD2" s="2" t="s">
        <v>610</v>
      </c>
      <c r="AE2" s="2" t="s">
        <v>610</v>
      </c>
      <c r="AF2" s="2" t="s">
        <v>610</v>
      </c>
      <c r="AG2" s="2" t="s">
        <v>610</v>
      </c>
      <c r="AH2" s="2" t="s">
        <v>610</v>
      </c>
      <c r="AI2" s="2" t="s">
        <v>610</v>
      </c>
      <c r="AJ2" s="2" t="s">
        <v>610</v>
      </c>
      <c r="AK2" s="2" t="s">
        <v>610</v>
      </c>
      <c r="AL2" s="2" t="s">
        <v>610</v>
      </c>
      <c r="AM2" s="2" t="s">
        <v>610</v>
      </c>
      <c r="AN2" s="2" t="s">
        <v>610</v>
      </c>
      <c r="AO2" s="2" t="s">
        <v>610</v>
      </c>
      <c r="AP2" s="2" t="s">
        <v>610</v>
      </c>
      <c r="AQ2" s="2" t="s">
        <v>610</v>
      </c>
      <c r="AR2" s="2" t="s">
        <v>610</v>
      </c>
      <c r="AS2" s="2" t="s">
        <v>610</v>
      </c>
      <c r="AT2" s="2" t="s">
        <v>610</v>
      </c>
      <c r="AU2" s="2" t="s">
        <v>610</v>
      </c>
      <c r="AV2" s="2" t="s">
        <v>610</v>
      </c>
      <c r="AW2" s="2" t="s">
        <v>610</v>
      </c>
    </row>
    <row r="3" spans="1:55">
      <c r="A3" s="1" t="s">
        <v>518</v>
      </c>
      <c r="B3" s="1"/>
      <c r="C3" s="1"/>
      <c r="D3" s="1"/>
      <c r="E3" s="2" t="s">
        <v>1079</v>
      </c>
      <c r="F3" s="2" t="s">
        <v>3006</v>
      </c>
      <c r="G3" s="2" t="s">
        <v>3006</v>
      </c>
      <c r="H3" s="2" t="s">
        <v>3006</v>
      </c>
      <c r="I3" s="2" t="s">
        <v>3006</v>
      </c>
      <c r="J3" s="2" t="s">
        <v>3006</v>
      </c>
      <c r="K3" s="2" t="s">
        <v>3006</v>
      </c>
      <c r="L3" s="2" t="s">
        <v>3006</v>
      </c>
      <c r="M3" s="2" t="s">
        <v>3006</v>
      </c>
      <c r="N3" s="2" t="s">
        <v>3006</v>
      </c>
      <c r="O3" s="2" t="s">
        <v>3006</v>
      </c>
      <c r="P3" s="2" t="s">
        <v>3006</v>
      </c>
      <c r="Q3" s="2" t="s">
        <v>3006</v>
      </c>
      <c r="R3" s="2" t="s">
        <v>3006</v>
      </c>
      <c r="S3" s="2" t="s">
        <v>3006</v>
      </c>
      <c r="T3" s="2" t="s">
        <v>3006</v>
      </c>
      <c r="U3" s="2" t="s">
        <v>3006</v>
      </c>
      <c r="V3" s="2" t="s">
        <v>3006</v>
      </c>
      <c r="W3" s="2" t="s">
        <v>3006</v>
      </c>
      <c r="X3" s="2" t="s">
        <v>3006</v>
      </c>
      <c r="Y3" s="2" t="s">
        <v>3006</v>
      </c>
      <c r="Z3" s="2" t="s">
        <v>3006</v>
      </c>
      <c r="AA3" s="2" t="s">
        <v>3006</v>
      </c>
      <c r="AB3" s="2" t="s">
        <v>3006</v>
      </c>
      <c r="AC3" s="2" t="s">
        <v>3006</v>
      </c>
      <c r="AD3" s="2" t="s">
        <v>3006</v>
      </c>
      <c r="AE3" s="2" t="s">
        <v>3006</v>
      </c>
      <c r="AF3" s="2" t="s">
        <v>3006</v>
      </c>
      <c r="AG3" s="2" t="s">
        <v>3006</v>
      </c>
      <c r="AH3" s="2" t="s">
        <v>3006</v>
      </c>
      <c r="AI3" s="2" t="s">
        <v>3006</v>
      </c>
      <c r="AJ3" s="2" t="s">
        <v>3006</v>
      </c>
      <c r="AK3" s="2" t="s">
        <v>3006</v>
      </c>
      <c r="AL3" s="2" t="s">
        <v>3006</v>
      </c>
      <c r="AM3" s="2" t="s">
        <v>3006</v>
      </c>
      <c r="AN3" s="2" t="s">
        <v>3006</v>
      </c>
      <c r="AO3" s="2" t="s">
        <v>3006</v>
      </c>
      <c r="AP3" s="2" t="s">
        <v>3006</v>
      </c>
      <c r="AQ3" s="2" t="s">
        <v>3006</v>
      </c>
      <c r="AR3" s="2" t="s">
        <v>3006</v>
      </c>
      <c r="AS3" s="2" t="s">
        <v>3006</v>
      </c>
      <c r="AT3" s="2" t="s">
        <v>3006</v>
      </c>
      <c r="AU3" s="2" t="s">
        <v>3006</v>
      </c>
      <c r="AV3" s="2" t="s">
        <v>3006</v>
      </c>
      <c r="AW3" s="2" t="s">
        <v>3006</v>
      </c>
    </row>
    <row r="4" spans="1:55">
      <c r="A4" s="1" t="s">
        <v>736</v>
      </c>
      <c r="B4" s="1"/>
      <c r="C4" s="1"/>
      <c r="D4" s="1"/>
      <c r="E4" s="2"/>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55">
      <c r="A5" s="1" t="s">
        <v>737</v>
      </c>
      <c r="B5" s="1"/>
      <c r="C5" s="1"/>
      <c r="D5" s="1"/>
      <c r="E5" s="2" t="s">
        <v>738</v>
      </c>
      <c r="F5" s="1" t="s">
        <v>138</v>
      </c>
      <c r="G5" s="1" t="s">
        <v>138</v>
      </c>
      <c r="H5" s="1" t="s">
        <v>138</v>
      </c>
      <c r="I5" s="1" t="s">
        <v>138</v>
      </c>
      <c r="J5" s="1" t="s">
        <v>138</v>
      </c>
      <c r="K5" s="1" t="s">
        <v>138</v>
      </c>
      <c r="L5" s="1" t="s">
        <v>138</v>
      </c>
      <c r="M5" s="1" t="s">
        <v>138</v>
      </c>
      <c r="N5" s="1" t="s">
        <v>138</v>
      </c>
      <c r="O5" s="1" t="s">
        <v>138</v>
      </c>
      <c r="P5" s="1" t="s">
        <v>138</v>
      </c>
      <c r="Q5" s="1" t="s">
        <v>138</v>
      </c>
      <c r="R5" s="1" t="s">
        <v>138</v>
      </c>
      <c r="S5" s="1" t="s">
        <v>138</v>
      </c>
      <c r="T5" s="1" t="s">
        <v>138</v>
      </c>
      <c r="U5" s="1" t="s">
        <v>138</v>
      </c>
      <c r="V5" s="1" t="s">
        <v>138</v>
      </c>
      <c r="W5" s="1" t="s">
        <v>138</v>
      </c>
      <c r="X5" s="1" t="s">
        <v>138</v>
      </c>
      <c r="Y5" s="1" t="s">
        <v>138</v>
      </c>
      <c r="Z5" s="1" t="s">
        <v>138</v>
      </c>
      <c r="AA5" s="1" t="s">
        <v>138</v>
      </c>
      <c r="AB5" s="1" t="s">
        <v>138</v>
      </c>
      <c r="AC5" s="1" t="s">
        <v>138</v>
      </c>
      <c r="AD5" s="1" t="s">
        <v>138</v>
      </c>
      <c r="AE5" s="1" t="s">
        <v>138</v>
      </c>
      <c r="AF5" s="1" t="s">
        <v>138</v>
      </c>
      <c r="AG5" s="1" t="s">
        <v>138</v>
      </c>
      <c r="AH5" s="1" t="s">
        <v>138</v>
      </c>
      <c r="AI5" s="1" t="s">
        <v>138</v>
      </c>
      <c r="AJ5" s="1" t="s">
        <v>138</v>
      </c>
      <c r="AK5" s="1" t="s">
        <v>138</v>
      </c>
      <c r="AL5" s="1" t="s">
        <v>138</v>
      </c>
      <c r="AM5" s="1" t="s">
        <v>138</v>
      </c>
      <c r="AN5" s="1" t="s">
        <v>138</v>
      </c>
      <c r="AO5" s="1" t="s">
        <v>138</v>
      </c>
      <c r="AP5" s="1" t="s">
        <v>138</v>
      </c>
      <c r="AQ5" s="1" t="s">
        <v>138</v>
      </c>
      <c r="AR5" s="1" t="s">
        <v>138</v>
      </c>
      <c r="AS5" s="1" t="s">
        <v>138</v>
      </c>
      <c r="AT5" s="1" t="s">
        <v>138</v>
      </c>
      <c r="AU5" s="1" t="s">
        <v>138</v>
      </c>
      <c r="AV5" s="1" t="s">
        <v>138</v>
      </c>
      <c r="AW5" s="1" t="s">
        <v>138</v>
      </c>
    </row>
    <row r="6" spans="1:55" s="201" customFormat="1" ht="12">
      <c r="A6" s="42" t="s">
        <v>560</v>
      </c>
      <c r="B6" s="42"/>
      <c r="C6" s="42"/>
      <c r="D6" s="42"/>
      <c r="E6" s="43" t="s">
        <v>2637</v>
      </c>
      <c r="F6" s="205">
        <v>1971</v>
      </c>
      <c r="G6" s="205">
        <v>1972</v>
      </c>
      <c r="H6" s="205">
        <v>1973</v>
      </c>
      <c r="I6" s="205">
        <v>1974</v>
      </c>
      <c r="J6" s="205">
        <v>1975</v>
      </c>
      <c r="K6" s="205">
        <v>1976</v>
      </c>
      <c r="L6" s="205">
        <v>1977</v>
      </c>
      <c r="M6" s="205">
        <v>1978</v>
      </c>
      <c r="N6" s="205">
        <v>1979</v>
      </c>
      <c r="O6" s="205">
        <v>1980</v>
      </c>
      <c r="P6" s="205">
        <v>1981</v>
      </c>
      <c r="Q6" s="205">
        <v>1982</v>
      </c>
      <c r="R6" s="205">
        <v>1983</v>
      </c>
      <c r="S6" s="205">
        <v>1984</v>
      </c>
      <c r="T6" s="205">
        <v>1985</v>
      </c>
      <c r="U6" s="205">
        <v>1986</v>
      </c>
      <c r="V6" s="205">
        <v>1987</v>
      </c>
      <c r="W6" s="205">
        <v>1988</v>
      </c>
      <c r="X6" s="205">
        <v>1989</v>
      </c>
      <c r="Y6" s="205">
        <v>1990</v>
      </c>
      <c r="Z6" s="205">
        <v>1991</v>
      </c>
      <c r="AA6" s="205">
        <v>1992</v>
      </c>
      <c r="AB6" s="205">
        <v>1993</v>
      </c>
      <c r="AC6" s="205">
        <v>1994</v>
      </c>
      <c r="AD6" s="205">
        <v>1995</v>
      </c>
      <c r="AE6" s="205">
        <v>1996</v>
      </c>
      <c r="AF6" s="205">
        <v>1997</v>
      </c>
      <c r="AG6" s="205">
        <v>1998</v>
      </c>
      <c r="AH6" s="205">
        <v>1999</v>
      </c>
      <c r="AI6" s="205">
        <v>2000</v>
      </c>
      <c r="AJ6" s="205">
        <v>2001</v>
      </c>
      <c r="AK6" s="205">
        <v>2002</v>
      </c>
      <c r="AL6" s="205">
        <v>2003</v>
      </c>
      <c r="AM6" s="205">
        <v>2004</v>
      </c>
      <c r="AN6" s="205">
        <v>2005</v>
      </c>
      <c r="AO6" s="205">
        <v>2006</v>
      </c>
      <c r="AP6" s="205">
        <v>2007</v>
      </c>
      <c r="AQ6" s="205">
        <v>2008</v>
      </c>
      <c r="AR6" s="205">
        <v>2009</v>
      </c>
      <c r="AS6" s="205">
        <v>2010</v>
      </c>
      <c r="AT6" s="205">
        <v>2011</v>
      </c>
      <c r="AU6" s="205">
        <v>2012</v>
      </c>
      <c r="AV6" s="205">
        <v>2013</v>
      </c>
      <c r="AW6" s="205">
        <v>2014</v>
      </c>
    </row>
    <row r="7" spans="1:55" ht="77">
      <c r="A7" s="7" t="s">
        <v>3334</v>
      </c>
      <c r="B7" s="1"/>
      <c r="C7" s="1"/>
      <c r="D7" s="1"/>
      <c r="E7" s="2" t="s">
        <v>3175</v>
      </c>
      <c r="F7" s="2" t="s">
        <v>3176</v>
      </c>
      <c r="G7" s="2" t="s">
        <v>3177</v>
      </c>
      <c r="H7" s="2" t="s">
        <v>3178</v>
      </c>
      <c r="I7" s="2" t="s">
        <v>3179</v>
      </c>
      <c r="J7" s="2" t="s">
        <v>3180</v>
      </c>
      <c r="K7" s="2" t="s">
        <v>3181</v>
      </c>
      <c r="L7" s="2" t="s">
        <v>3182</v>
      </c>
      <c r="M7" s="2" t="s">
        <v>3183</v>
      </c>
      <c r="N7" s="2" t="s">
        <v>3184</v>
      </c>
      <c r="O7" s="2" t="s">
        <v>3185</v>
      </c>
      <c r="P7" s="2" t="s">
        <v>3186</v>
      </c>
      <c r="Q7" s="2" t="s">
        <v>3187</v>
      </c>
      <c r="R7" s="2" t="s">
        <v>3188</v>
      </c>
      <c r="S7" s="2" t="s">
        <v>3189</v>
      </c>
      <c r="T7" s="2" t="s">
        <v>3190</v>
      </c>
      <c r="U7" s="2" t="s">
        <v>3191</v>
      </c>
      <c r="V7" s="2" t="s">
        <v>3192</v>
      </c>
      <c r="W7" s="2" t="s">
        <v>3193</v>
      </c>
      <c r="X7" s="2" t="s">
        <v>3194</v>
      </c>
      <c r="Y7" s="2" t="s">
        <v>3195</v>
      </c>
      <c r="Z7" s="2" t="s">
        <v>3196</v>
      </c>
      <c r="AA7" s="2" t="s">
        <v>3197</v>
      </c>
      <c r="AB7" s="2" t="s">
        <v>3198</v>
      </c>
      <c r="AC7" s="2" t="s">
        <v>3199</v>
      </c>
      <c r="AD7" s="2" t="s">
        <v>3200</v>
      </c>
      <c r="AE7" s="2" t="s">
        <v>3201</v>
      </c>
      <c r="AF7" s="15" t="s">
        <v>3202</v>
      </c>
      <c r="AG7" s="15" t="s">
        <v>3203</v>
      </c>
      <c r="AH7" s="15" t="s">
        <v>3204</v>
      </c>
      <c r="AI7" s="15" t="s">
        <v>3205</v>
      </c>
      <c r="AJ7" s="15" t="s">
        <v>3206</v>
      </c>
      <c r="AK7" s="15" t="s">
        <v>3207</v>
      </c>
      <c r="AL7" s="15" t="s">
        <v>3208</v>
      </c>
      <c r="AM7" s="15" t="s">
        <v>3209</v>
      </c>
      <c r="AN7" s="15" t="s">
        <v>3210</v>
      </c>
      <c r="AO7" s="15" t="s">
        <v>3211</v>
      </c>
      <c r="AP7" s="15" t="s">
        <v>3212</v>
      </c>
      <c r="AQ7" s="15" t="s">
        <v>3213</v>
      </c>
      <c r="AR7" s="15" t="s">
        <v>3214</v>
      </c>
      <c r="AS7" s="2" t="s">
        <v>3215</v>
      </c>
      <c r="AT7" s="15" t="s">
        <v>3216</v>
      </c>
      <c r="AU7" s="15" t="s">
        <v>3217</v>
      </c>
      <c r="AV7" s="15" t="s">
        <v>3218</v>
      </c>
      <c r="AW7" s="2" t="s">
        <v>3219</v>
      </c>
      <c r="AX7" s="2" t="s">
        <v>3220</v>
      </c>
    </row>
    <row r="8" spans="1:55" s="206" customFormat="1">
      <c r="A8" s="9" t="s">
        <v>572</v>
      </c>
      <c r="B8" s="9" t="s">
        <v>770</v>
      </c>
      <c r="C8" s="9" t="s">
        <v>771</v>
      </c>
      <c r="D8" s="9" t="s">
        <v>772</v>
      </c>
      <c r="E8" s="9" t="s">
        <v>3129</v>
      </c>
      <c r="F8" s="205" t="s">
        <v>3134</v>
      </c>
      <c r="G8" s="205" t="s">
        <v>3135</v>
      </c>
      <c r="H8" s="205" t="s">
        <v>3136</v>
      </c>
      <c r="I8" s="205" t="s">
        <v>3137</v>
      </c>
      <c r="J8" s="205" t="s">
        <v>3138</v>
      </c>
      <c r="K8" s="205" t="s">
        <v>3139</v>
      </c>
      <c r="L8" s="205" t="s">
        <v>3140</v>
      </c>
      <c r="M8" s="205" t="s">
        <v>3141</v>
      </c>
      <c r="N8" s="205" t="s">
        <v>3142</v>
      </c>
      <c r="O8" s="9" t="s">
        <v>3130</v>
      </c>
      <c r="P8" s="205" t="s">
        <v>3143</v>
      </c>
      <c r="Q8" s="205" t="s">
        <v>3144</v>
      </c>
      <c r="R8" s="205" t="s">
        <v>3145</v>
      </c>
      <c r="S8" s="205" t="s">
        <v>3146</v>
      </c>
      <c r="T8" s="205" t="s">
        <v>3147</v>
      </c>
      <c r="U8" s="205" t="s">
        <v>3148</v>
      </c>
      <c r="V8" s="205" t="s">
        <v>3149</v>
      </c>
      <c r="W8" s="205" t="s">
        <v>3150</v>
      </c>
      <c r="X8" s="205" t="s">
        <v>3151</v>
      </c>
      <c r="Y8" s="205" t="s">
        <v>3152</v>
      </c>
      <c r="Z8" s="9" t="s">
        <v>3131</v>
      </c>
      <c r="AA8" s="205" t="s">
        <v>3153</v>
      </c>
      <c r="AB8" s="205" t="s">
        <v>3154</v>
      </c>
      <c r="AC8" s="205" t="s">
        <v>3155</v>
      </c>
      <c r="AD8" s="205" t="s">
        <v>3156</v>
      </c>
      <c r="AE8" s="205" t="s">
        <v>3157</v>
      </c>
      <c r="AF8" s="205" t="s">
        <v>3158</v>
      </c>
      <c r="AG8" s="205" t="s">
        <v>3159</v>
      </c>
      <c r="AH8" s="205" t="s">
        <v>3160</v>
      </c>
      <c r="AI8" s="9" t="s">
        <v>3161</v>
      </c>
      <c r="AJ8" s="9" t="s">
        <v>3132</v>
      </c>
      <c r="AK8" s="205" t="s">
        <v>3162</v>
      </c>
      <c r="AL8" s="205" t="s">
        <v>3163</v>
      </c>
      <c r="AM8" s="205" t="s">
        <v>3164</v>
      </c>
      <c r="AN8" s="205" t="s">
        <v>3165</v>
      </c>
      <c r="AO8" s="205" t="s">
        <v>3166</v>
      </c>
      <c r="AP8" s="205" t="s">
        <v>3167</v>
      </c>
      <c r="AQ8" s="205" t="s">
        <v>3168</v>
      </c>
      <c r="AR8" s="205" t="s">
        <v>3169</v>
      </c>
      <c r="AS8" s="9" t="s">
        <v>3133</v>
      </c>
      <c r="AT8" s="205" t="s">
        <v>3170</v>
      </c>
      <c r="AU8" s="205" t="s">
        <v>3171</v>
      </c>
      <c r="AV8" s="205" t="s">
        <v>3172</v>
      </c>
      <c r="AW8" s="9" t="s">
        <v>3173</v>
      </c>
      <c r="AX8" s="9" t="s">
        <v>3174</v>
      </c>
      <c r="AZ8" s="9"/>
      <c r="BA8" s="9"/>
      <c r="BB8" s="9"/>
      <c r="BC8" s="9"/>
    </row>
    <row r="9" spans="1:55">
      <c r="A9" s="3" t="s">
        <v>850</v>
      </c>
      <c r="B9" s="3" t="s">
        <v>851</v>
      </c>
      <c r="C9" s="3">
        <v>1</v>
      </c>
      <c r="D9" s="3" t="s">
        <v>759</v>
      </c>
      <c r="E9" s="73">
        <v>91.308513539587139</v>
      </c>
      <c r="F9" s="209">
        <v>91.490002000000004</v>
      </c>
      <c r="G9" s="209">
        <v>91.680002000000002</v>
      </c>
      <c r="H9" s="209">
        <v>91.870001000000002</v>
      </c>
      <c r="I9" s="209">
        <v>92.060001</v>
      </c>
      <c r="J9" s="209">
        <v>92.25</v>
      </c>
      <c r="K9" s="209">
        <v>92.439999</v>
      </c>
      <c r="L9" s="209">
        <v>92.629998999999998</v>
      </c>
      <c r="M9" s="209">
        <v>92.819997999999998</v>
      </c>
      <c r="N9" s="209">
        <v>93.009997999999996</v>
      </c>
      <c r="O9" s="73">
        <v>93.162750998397854</v>
      </c>
      <c r="P9" s="209">
        <v>93.381815000000003</v>
      </c>
      <c r="Q9" s="209">
        <v>93.563632999999996</v>
      </c>
      <c r="R9" s="209">
        <v>93.745451000000003</v>
      </c>
      <c r="S9" s="209">
        <v>93.927269999999993</v>
      </c>
      <c r="T9" s="209">
        <v>94.109088</v>
      </c>
      <c r="U9" s="209">
        <v>94.290906000000007</v>
      </c>
      <c r="V9" s="209">
        <v>94.472723999999999</v>
      </c>
      <c r="W9" s="209">
        <v>94.654542000000006</v>
      </c>
      <c r="X9" s="209">
        <v>94.836360999999997</v>
      </c>
      <c r="Y9" s="209">
        <v>95.018179000000003</v>
      </c>
      <c r="Z9" s="73">
        <v>95.17057359546753</v>
      </c>
      <c r="AA9" s="209">
        <v>95.319997000000001</v>
      </c>
      <c r="AB9" s="209">
        <v>95.439998000000003</v>
      </c>
      <c r="AC9" s="209">
        <v>95.559997999999993</v>
      </c>
      <c r="AD9" s="209">
        <v>95.679998999999995</v>
      </c>
      <c r="AE9" s="209">
        <v>95.799999</v>
      </c>
      <c r="AF9" s="209">
        <v>95.92</v>
      </c>
      <c r="AG9" s="209">
        <v>96.04</v>
      </c>
      <c r="AH9" s="209">
        <v>96.160000999999994</v>
      </c>
      <c r="AI9" s="209">
        <v>96.280000999999999</v>
      </c>
      <c r="AJ9" s="73">
        <v>96.362518146294661</v>
      </c>
      <c r="AK9" s="209">
        <v>96.488889999999998</v>
      </c>
      <c r="AL9" s="209">
        <v>96.577777999999995</v>
      </c>
      <c r="AM9" s="209">
        <v>96.666667000000004</v>
      </c>
      <c r="AN9" s="209">
        <v>96.755555000000001</v>
      </c>
      <c r="AO9" s="209">
        <v>96.844442999999998</v>
      </c>
      <c r="AP9" s="209">
        <v>96.933331999999993</v>
      </c>
      <c r="AQ9" s="209">
        <v>97.022220000000004</v>
      </c>
      <c r="AR9" s="209">
        <v>97.111108999999999</v>
      </c>
      <c r="AS9" s="73">
        <v>97.23534286279677</v>
      </c>
      <c r="AT9" s="209">
        <v>97.299997000000005</v>
      </c>
      <c r="AU9" s="209">
        <v>97.399996999999999</v>
      </c>
      <c r="AV9" s="209">
        <v>97.499996999999993</v>
      </c>
      <c r="AW9" s="209">
        <v>97.599997000000002</v>
      </c>
      <c r="AX9" s="209">
        <v>97.699996999999996</v>
      </c>
      <c r="AZ9" s="73"/>
      <c r="BA9" s="73"/>
      <c r="BB9" s="73"/>
      <c r="BC9" s="73"/>
    </row>
    <row r="10" spans="1:55">
      <c r="A10" s="3" t="s">
        <v>667</v>
      </c>
      <c r="B10" s="3" t="s">
        <v>668</v>
      </c>
      <c r="C10" s="3">
        <v>2</v>
      </c>
      <c r="D10" s="3" t="s">
        <v>759</v>
      </c>
      <c r="E10" s="73">
        <v>100</v>
      </c>
      <c r="F10" s="209">
        <v>100</v>
      </c>
      <c r="G10" s="209">
        <v>100</v>
      </c>
      <c r="H10" s="209">
        <v>100</v>
      </c>
      <c r="I10" s="209">
        <v>100</v>
      </c>
      <c r="J10" s="209">
        <v>100</v>
      </c>
      <c r="K10" s="209">
        <v>100</v>
      </c>
      <c r="L10" s="209">
        <v>100</v>
      </c>
      <c r="M10" s="209">
        <v>100</v>
      </c>
      <c r="N10" s="209">
        <v>100</v>
      </c>
      <c r="O10" s="73">
        <v>100</v>
      </c>
      <c r="P10" s="209">
        <v>100</v>
      </c>
      <c r="Q10" s="209">
        <v>100</v>
      </c>
      <c r="R10" s="209">
        <v>100</v>
      </c>
      <c r="S10" s="209">
        <v>100</v>
      </c>
      <c r="T10" s="209">
        <v>100</v>
      </c>
      <c r="U10" s="209">
        <v>100</v>
      </c>
      <c r="V10" s="209">
        <v>100</v>
      </c>
      <c r="W10" s="209">
        <v>100</v>
      </c>
      <c r="X10" s="209">
        <v>100</v>
      </c>
      <c r="Y10" s="209">
        <v>100</v>
      </c>
      <c r="Z10" s="73">
        <v>100</v>
      </c>
      <c r="AA10" s="209">
        <v>100</v>
      </c>
      <c r="AB10" s="209">
        <v>100</v>
      </c>
      <c r="AC10" s="209">
        <v>100</v>
      </c>
      <c r="AD10" s="209">
        <v>100</v>
      </c>
      <c r="AE10" s="209">
        <v>100</v>
      </c>
      <c r="AF10" s="209">
        <v>100</v>
      </c>
      <c r="AG10" s="209">
        <v>100</v>
      </c>
      <c r="AH10" s="209">
        <v>100</v>
      </c>
      <c r="AI10" s="209">
        <v>100</v>
      </c>
      <c r="AJ10" s="73">
        <v>100</v>
      </c>
      <c r="AK10" s="209">
        <v>100</v>
      </c>
      <c r="AL10" s="209">
        <v>100</v>
      </c>
      <c r="AM10" s="209">
        <v>100</v>
      </c>
      <c r="AN10" s="209">
        <v>100</v>
      </c>
      <c r="AO10" s="209">
        <v>100</v>
      </c>
      <c r="AP10" s="209">
        <v>100</v>
      </c>
      <c r="AQ10" s="209">
        <v>100</v>
      </c>
      <c r="AR10" s="209">
        <v>100</v>
      </c>
      <c r="AS10" s="73">
        <v>100</v>
      </c>
      <c r="AT10" s="209">
        <v>100</v>
      </c>
      <c r="AU10" s="209">
        <v>100</v>
      </c>
      <c r="AV10" s="209">
        <v>100</v>
      </c>
      <c r="AW10" s="209">
        <v>100</v>
      </c>
      <c r="AX10" s="209">
        <v>100</v>
      </c>
      <c r="AZ10" s="73"/>
      <c r="BA10" s="73"/>
      <c r="BB10" s="73"/>
      <c r="BC10" s="73"/>
    </row>
    <row r="11" spans="1:55">
      <c r="A11" s="3" t="s">
        <v>669</v>
      </c>
      <c r="B11" s="3" t="s">
        <v>663</v>
      </c>
      <c r="C11" s="3">
        <v>3</v>
      </c>
      <c r="D11" s="3" t="s">
        <v>664</v>
      </c>
      <c r="E11" s="73">
        <v>52.93663643274548</v>
      </c>
      <c r="F11" s="209">
        <v>53.360000999999997</v>
      </c>
      <c r="G11" s="209">
        <v>53.820000999999998</v>
      </c>
      <c r="H11" s="209">
        <v>54.280000999999999</v>
      </c>
      <c r="I11" s="209">
        <v>54.740000999999999</v>
      </c>
      <c r="J11" s="209">
        <v>55.200001</v>
      </c>
      <c r="K11" s="209">
        <v>55.660001000000001</v>
      </c>
      <c r="L11" s="209">
        <v>56.12</v>
      </c>
      <c r="M11" s="209">
        <v>56.58</v>
      </c>
      <c r="N11" s="209">
        <v>57.04</v>
      </c>
      <c r="O11" s="73">
        <v>57.536455850989569</v>
      </c>
      <c r="P11" s="209">
        <v>58.618181999999997</v>
      </c>
      <c r="Q11" s="209">
        <v>59.736364000000002</v>
      </c>
      <c r="R11" s="209">
        <v>60.854545999999999</v>
      </c>
      <c r="S11" s="209">
        <v>61.972727999999996</v>
      </c>
      <c r="T11" s="209">
        <v>63.090910000000001</v>
      </c>
      <c r="U11" s="209">
        <v>64.209092999999996</v>
      </c>
      <c r="V11" s="209">
        <v>65.327275</v>
      </c>
      <c r="W11" s="209">
        <v>66.445457000000005</v>
      </c>
      <c r="X11" s="209">
        <v>67.563638999999995</v>
      </c>
      <c r="Y11" s="209">
        <v>68.681820999999999</v>
      </c>
      <c r="Z11" s="73">
        <v>69.818040070543532</v>
      </c>
      <c r="AA11" s="209">
        <v>70.220003000000005</v>
      </c>
      <c r="AB11" s="209">
        <v>70.640001999999996</v>
      </c>
      <c r="AC11" s="209">
        <v>71.060001999999997</v>
      </c>
      <c r="AD11" s="209">
        <v>71.480001999999999</v>
      </c>
      <c r="AE11" s="209">
        <v>71.900002000000001</v>
      </c>
      <c r="AF11" s="209">
        <v>72.320001000000005</v>
      </c>
      <c r="AG11" s="209">
        <v>72.740001000000007</v>
      </c>
      <c r="AH11" s="209">
        <v>73.160000999999994</v>
      </c>
      <c r="AI11" s="209">
        <v>73.58</v>
      </c>
      <c r="AJ11" s="73">
        <v>74.047428325482414</v>
      </c>
      <c r="AK11" s="209">
        <v>74.344443999999996</v>
      </c>
      <c r="AL11" s="209">
        <v>74.688889000000003</v>
      </c>
      <c r="AM11" s="209">
        <v>75.033332999999999</v>
      </c>
      <c r="AN11" s="209">
        <v>75.377776999999995</v>
      </c>
      <c r="AO11" s="209">
        <v>75.722221000000005</v>
      </c>
      <c r="AP11" s="209">
        <v>76.066665999999998</v>
      </c>
      <c r="AQ11" s="209">
        <v>76.411109999999994</v>
      </c>
      <c r="AR11" s="209">
        <v>76.755554000000004</v>
      </c>
      <c r="AS11" s="73">
        <v>77.130071663929883</v>
      </c>
      <c r="AT11" s="209">
        <v>77.459998999999996</v>
      </c>
      <c r="AU11" s="209">
        <v>77.819999999999993</v>
      </c>
      <c r="AV11" s="209">
        <v>78.180000000000007</v>
      </c>
      <c r="AW11" s="209">
        <v>78.540001000000004</v>
      </c>
      <c r="AX11" s="209">
        <v>78.900002000000001</v>
      </c>
      <c r="AZ11" s="73"/>
      <c r="BA11" s="73"/>
      <c r="BB11" s="73"/>
      <c r="BC11" s="73"/>
    </row>
    <row r="12" spans="1:55">
      <c r="A12" s="3" t="s">
        <v>665</v>
      </c>
      <c r="B12" s="3" t="s">
        <v>640</v>
      </c>
      <c r="C12" s="3">
        <v>4</v>
      </c>
      <c r="D12" s="3" t="s">
        <v>641</v>
      </c>
      <c r="E12" s="73">
        <v>47.031748300868493</v>
      </c>
      <c r="F12" s="209">
        <v>48.39</v>
      </c>
      <c r="G12" s="209">
        <v>49.78</v>
      </c>
      <c r="H12" s="209">
        <v>51.17</v>
      </c>
      <c r="I12" s="209">
        <v>52.560001</v>
      </c>
      <c r="J12" s="209">
        <v>53.950001</v>
      </c>
      <c r="K12" s="209">
        <v>55.340001000000001</v>
      </c>
      <c r="L12" s="209">
        <v>56.730001000000001</v>
      </c>
      <c r="M12" s="209">
        <v>58.120001000000002</v>
      </c>
      <c r="N12" s="209">
        <v>59.510001000000003</v>
      </c>
      <c r="O12" s="73">
        <v>60.856696398019935</v>
      </c>
      <c r="P12" s="209">
        <v>61.600000999999999</v>
      </c>
      <c r="Q12" s="209">
        <v>62.300001000000002</v>
      </c>
      <c r="R12" s="209">
        <v>63.000000999999997</v>
      </c>
      <c r="S12" s="209">
        <v>63.7</v>
      </c>
      <c r="T12" s="209">
        <v>64.400000000000006</v>
      </c>
      <c r="U12" s="209">
        <v>65.099999999999994</v>
      </c>
      <c r="V12" s="209">
        <v>65.8</v>
      </c>
      <c r="W12" s="209">
        <v>66.499999000000003</v>
      </c>
      <c r="X12" s="209">
        <v>67.199999000000005</v>
      </c>
      <c r="Y12" s="209">
        <v>67.899998999999994</v>
      </c>
      <c r="Z12" s="73">
        <v>68.587444934183026</v>
      </c>
      <c r="AA12" s="209">
        <v>69.709997999999999</v>
      </c>
      <c r="AB12" s="209">
        <v>70.819997999999998</v>
      </c>
      <c r="AC12" s="209">
        <v>71.929997999999998</v>
      </c>
      <c r="AD12" s="209">
        <v>73.039997999999997</v>
      </c>
      <c r="AE12" s="209">
        <v>74.149997999999997</v>
      </c>
      <c r="AF12" s="209">
        <v>75.259997999999996</v>
      </c>
      <c r="AG12" s="209">
        <v>76.369996999999998</v>
      </c>
      <c r="AH12" s="209">
        <v>77.479996999999997</v>
      </c>
      <c r="AI12" s="209">
        <v>78.589996999999997</v>
      </c>
      <c r="AJ12" s="73">
        <v>79.709298427745139</v>
      </c>
      <c r="AK12" s="209">
        <v>80.244442000000006</v>
      </c>
      <c r="AL12" s="209">
        <v>80.788886000000005</v>
      </c>
      <c r="AM12" s="209">
        <v>81.333331000000001</v>
      </c>
      <c r="AN12" s="209">
        <v>81.877775</v>
      </c>
      <c r="AO12" s="209">
        <v>82.422219999999996</v>
      </c>
      <c r="AP12" s="209">
        <v>82.966665000000006</v>
      </c>
      <c r="AQ12" s="209">
        <v>83.511109000000005</v>
      </c>
      <c r="AR12" s="209">
        <v>84.055554000000001</v>
      </c>
      <c r="AS12" s="73">
        <v>84.623458963104099</v>
      </c>
      <c r="AT12" s="209">
        <v>85.159998999999999</v>
      </c>
      <c r="AU12" s="209">
        <v>85.72</v>
      </c>
      <c r="AV12" s="209">
        <v>86.28</v>
      </c>
      <c r="AW12" s="209">
        <v>86.840001000000001</v>
      </c>
      <c r="AX12" s="209">
        <v>87.400002000000001</v>
      </c>
      <c r="AZ12" s="73"/>
      <c r="BA12" s="73"/>
      <c r="BB12" s="73"/>
      <c r="BC12" s="73"/>
    </row>
    <row r="13" spans="1:55">
      <c r="A13" s="3" t="s">
        <v>539</v>
      </c>
      <c r="B13" s="3" t="s">
        <v>540</v>
      </c>
      <c r="C13" s="3">
        <v>5</v>
      </c>
      <c r="D13" s="3" t="s">
        <v>541</v>
      </c>
      <c r="E13" s="73">
        <v>69.597725358045494</v>
      </c>
      <c r="F13" s="209">
        <v>70.779999000000004</v>
      </c>
      <c r="G13" s="209">
        <v>71.959998999999996</v>
      </c>
      <c r="H13" s="209">
        <v>73.139999000000003</v>
      </c>
      <c r="I13" s="209">
        <v>74.319999999999993</v>
      </c>
      <c r="J13" s="209">
        <v>75.5</v>
      </c>
      <c r="K13" s="209">
        <v>76.680000000000007</v>
      </c>
      <c r="L13" s="209">
        <v>77.860000999999997</v>
      </c>
      <c r="M13" s="209">
        <v>79.040001000000004</v>
      </c>
      <c r="N13" s="209">
        <v>80.220000999999996</v>
      </c>
      <c r="O13" s="73">
        <v>81.351571170130285</v>
      </c>
      <c r="P13" s="209">
        <v>81.981819999999999</v>
      </c>
      <c r="Q13" s="209">
        <v>82.563637999999997</v>
      </c>
      <c r="R13" s="209">
        <v>83.145455999999996</v>
      </c>
      <c r="S13" s="209">
        <v>83.727275000000006</v>
      </c>
      <c r="T13" s="209">
        <v>84.309093000000004</v>
      </c>
      <c r="U13" s="209">
        <v>84.890911000000003</v>
      </c>
      <c r="V13" s="209">
        <v>85.472729999999999</v>
      </c>
      <c r="W13" s="209">
        <v>86.054547999999997</v>
      </c>
      <c r="X13" s="209">
        <v>86.636365999999995</v>
      </c>
      <c r="Y13" s="209">
        <v>87.218185000000005</v>
      </c>
      <c r="Z13" s="73">
        <v>87.822413344195937</v>
      </c>
      <c r="AA13" s="209">
        <v>87.970003000000005</v>
      </c>
      <c r="AB13" s="209">
        <v>88.140001999999996</v>
      </c>
      <c r="AC13" s="209">
        <v>88.310001999999997</v>
      </c>
      <c r="AD13" s="209">
        <v>88.480001999999999</v>
      </c>
      <c r="AE13" s="209">
        <v>88.650002000000001</v>
      </c>
      <c r="AF13" s="209">
        <v>88.820001000000005</v>
      </c>
      <c r="AG13" s="209">
        <v>88.990001000000007</v>
      </c>
      <c r="AH13" s="209">
        <v>89.160000999999994</v>
      </c>
      <c r="AI13" s="209">
        <v>89.33</v>
      </c>
      <c r="AJ13" s="73">
        <v>89.49101847124048</v>
      </c>
      <c r="AK13" s="209">
        <v>89.688889000000003</v>
      </c>
      <c r="AL13" s="209">
        <v>89.877776999999995</v>
      </c>
      <c r="AM13" s="209">
        <v>90.066665999999998</v>
      </c>
      <c r="AN13" s="209">
        <v>90.255554000000004</v>
      </c>
      <c r="AO13" s="209">
        <v>90.444443000000007</v>
      </c>
      <c r="AP13" s="209">
        <v>90.633330999999998</v>
      </c>
      <c r="AQ13" s="209">
        <v>90.822220000000002</v>
      </c>
      <c r="AR13" s="209">
        <v>91.011107999999993</v>
      </c>
      <c r="AS13" s="73">
        <v>91.235799092278299</v>
      </c>
      <c r="AT13" s="209">
        <v>91.399996999999999</v>
      </c>
      <c r="AU13" s="209">
        <v>91.599997000000002</v>
      </c>
      <c r="AV13" s="209">
        <v>91.799997000000005</v>
      </c>
      <c r="AW13" s="209">
        <v>91.999996999999993</v>
      </c>
      <c r="AX13" s="209">
        <v>92.199996999999996</v>
      </c>
      <c r="AZ13" s="73"/>
      <c r="BA13" s="73"/>
      <c r="BB13" s="73"/>
      <c r="BC13" s="73"/>
    </row>
    <row r="14" spans="1:55">
      <c r="A14" s="3" t="s">
        <v>542</v>
      </c>
      <c r="B14" s="3" t="s">
        <v>543</v>
      </c>
      <c r="C14" s="3">
        <v>6</v>
      </c>
      <c r="D14" s="3" t="s">
        <v>759</v>
      </c>
      <c r="E14" s="73">
        <v>74.848851856616179</v>
      </c>
      <c r="F14" s="209">
        <v>75.390001999999996</v>
      </c>
      <c r="G14" s="209">
        <v>75.980001999999999</v>
      </c>
      <c r="H14" s="209">
        <v>76.570001000000005</v>
      </c>
      <c r="I14" s="209">
        <v>77.160000999999994</v>
      </c>
      <c r="J14" s="209">
        <v>77.75</v>
      </c>
      <c r="K14" s="209">
        <v>78.339999000000006</v>
      </c>
      <c r="L14" s="209">
        <v>78.929998999999995</v>
      </c>
      <c r="M14" s="209">
        <v>79.519998000000001</v>
      </c>
      <c r="N14" s="209">
        <v>80.109998000000004</v>
      </c>
      <c r="O14" s="73">
        <v>80.72074638854302</v>
      </c>
      <c r="P14" s="209">
        <v>81.181815</v>
      </c>
      <c r="Q14" s="209">
        <v>81.663634000000002</v>
      </c>
      <c r="R14" s="209">
        <v>82.145452000000006</v>
      </c>
      <c r="S14" s="209">
        <v>82.627270999999993</v>
      </c>
      <c r="T14" s="209">
        <v>83.109088999999997</v>
      </c>
      <c r="U14" s="209">
        <v>83.590907999999999</v>
      </c>
      <c r="V14" s="209">
        <v>84.072726000000003</v>
      </c>
      <c r="W14" s="209">
        <v>84.554545000000005</v>
      </c>
      <c r="X14" s="209">
        <v>85.036362999999994</v>
      </c>
      <c r="Y14" s="209">
        <v>85.518181999999996</v>
      </c>
      <c r="Z14" s="73">
        <v>86.024456000199521</v>
      </c>
      <c r="AA14" s="209">
        <v>86.27</v>
      </c>
      <c r="AB14" s="209">
        <v>86.539998999999995</v>
      </c>
      <c r="AC14" s="209">
        <v>86.809999000000005</v>
      </c>
      <c r="AD14" s="209">
        <v>87.079999000000001</v>
      </c>
      <c r="AE14" s="209">
        <v>87.349997999999999</v>
      </c>
      <c r="AF14" s="209">
        <v>87.619997999999995</v>
      </c>
      <c r="AG14" s="209">
        <v>87.889998000000006</v>
      </c>
      <c r="AH14" s="209">
        <v>88.159998000000002</v>
      </c>
      <c r="AI14" s="209">
        <v>88.429997</v>
      </c>
      <c r="AJ14" s="73">
        <v>88.726559043120176</v>
      </c>
      <c r="AK14" s="209">
        <v>88.811108000000004</v>
      </c>
      <c r="AL14" s="209">
        <v>88.922218999999998</v>
      </c>
      <c r="AM14" s="209">
        <v>89.033330000000007</v>
      </c>
      <c r="AN14" s="209">
        <v>89.144441</v>
      </c>
      <c r="AO14" s="209">
        <v>89.255553000000006</v>
      </c>
      <c r="AP14" s="209">
        <v>89.366664</v>
      </c>
      <c r="AQ14" s="209">
        <v>89.477774999999994</v>
      </c>
      <c r="AR14" s="209">
        <v>89.588886000000002</v>
      </c>
      <c r="AS14" s="73">
        <v>89.742086255602004</v>
      </c>
      <c r="AT14" s="209">
        <v>89.819997999999998</v>
      </c>
      <c r="AU14" s="209">
        <v>89.939999</v>
      </c>
      <c r="AV14" s="209">
        <v>90.060001</v>
      </c>
      <c r="AW14" s="209">
        <v>90.180002000000002</v>
      </c>
      <c r="AX14" s="209">
        <v>90.300003000000004</v>
      </c>
      <c r="AZ14" s="73"/>
      <c r="BA14" s="73"/>
      <c r="BB14" s="73"/>
      <c r="BC14" s="73"/>
    </row>
    <row r="15" spans="1:55">
      <c r="A15" s="3" t="s">
        <v>628</v>
      </c>
      <c r="B15" s="3" t="s">
        <v>629</v>
      </c>
      <c r="C15" s="3">
        <v>7</v>
      </c>
      <c r="D15" s="3" t="s">
        <v>641</v>
      </c>
      <c r="E15" s="73">
        <v>57.228701030050679</v>
      </c>
      <c r="F15" s="209">
        <v>57.920000999999999</v>
      </c>
      <c r="G15" s="209">
        <v>58.640000999999998</v>
      </c>
      <c r="H15" s="209">
        <v>59.360000999999997</v>
      </c>
      <c r="I15" s="209">
        <v>60.080001000000003</v>
      </c>
      <c r="J15" s="209">
        <v>60.800001000000002</v>
      </c>
      <c r="K15" s="209">
        <v>61.520001000000001</v>
      </c>
      <c r="L15" s="209">
        <v>62.240000999999999</v>
      </c>
      <c r="M15" s="209">
        <v>62.960000999999998</v>
      </c>
      <c r="N15" s="209">
        <v>63.680000999999997</v>
      </c>
      <c r="O15" s="73">
        <v>64.385429674625897</v>
      </c>
      <c r="P15" s="209">
        <v>65.281818999999999</v>
      </c>
      <c r="Q15" s="209">
        <v>66.163636999999994</v>
      </c>
      <c r="R15" s="209">
        <v>67.045455000000004</v>
      </c>
      <c r="S15" s="209">
        <v>67.927273</v>
      </c>
      <c r="T15" s="209">
        <v>68.809090999999995</v>
      </c>
      <c r="U15" s="209">
        <v>69.690909000000005</v>
      </c>
      <c r="V15" s="209">
        <v>70.572727</v>
      </c>
      <c r="W15" s="209">
        <v>71.454544999999996</v>
      </c>
      <c r="X15" s="209">
        <v>72.336363000000006</v>
      </c>
      <c r="Y15" s="209">
        <v>73.218181000000001</v>
      </c>
      <c r="Z15" s="73">
        <v>74.13995077891488</v>
      </c>
      <c r="AA15" s="209">
        <v>74.629998999999998</v>
      </c>
      <c r="AB15" s="209">
        <v>75.159998999999999</v>
      </c>
      <c r="AC15" s="209">
        <v>75.689999</v>
      </c>
      <c r="AD15" s="209">
        <v>76.22</v>
      </c>
      <c r="AE15" s="209">
        <v>76.75</v>
      </c>
      <c r="AF15" s="209">
        <v>77.28</v>
      </c>
      <c r="AG15" s="209">
        <v>77.810001</v>
      </c>
      <c r="AH15" s="209">
        <v>78.340001000000001</v>
      </c>
      <c r="AI15" s="209">
        <v>78.870001000000002</v>
      </c>
      <c r="AJ15" s="73">
        <v>79.382077807411676</v>
      </c>
      <c r="AK15" s="209">
        <v>79.777778999999995</v>
      </c>
      <c r="AL15" s="209">
        <v>80.155557000000002</v>
      </c>
      <c r="AM15" s="209">
        <v>80.533334999999994</v>
      </c>
      <c r="AN15" s="209">
        <v>80.911113</v>
      </c>
      <c r="AO15" s="209">
        <v>81.288891000000007</v>
      </c>
      <c r="AP15" s="209">
        <v>81.666668999999999</v>
      </c>
      <c r="AQ15" s="209">
        <v>82.044447000000005</v>
      </c>
      <c r="AR15" s="209">
        <v>82.422224999999997</v>
      </c>
      <c r="AS15" s="73">
        <v>82.824385395633001</v>
      </c>
      <c r="AT15" s="209">
        <v>83.200002999999995</v>
      </c>
      <c r="AU15" s="209">
        <v>83.600003000000001</v>
      </c>
      <c r="AV15" s="209">
        <v>84.000003000000007</v>
      </c>
      <c r="AW15" s="209">
        <v>84.400002999999998</v>
      </c>
      <c r="AX15" s="209">
        <v>84.800003000000004</v>
      </c>
      <c r="AZ15" s="73"/>
      <c r="BA15" s="73"/>
      <c r="BB15" s="73"/>
      <c r="BC15" s="73"/>
    </row>
    <row r="16" spans="1:55">
      <c r="A16" s="3" t="s">
        <v>630</v>
      </c>
      <c r="B16" s="3" t="s">
        <v>631</v>
      </c>
      <c r="C16" s="3">
        <v>8</v>
      </c>
      <c r="D16" s="3" t="s">
        <v>759</v>
      </c>
      <c r="E16" s="73">
        <v>60.811072193728897</v>
      </c>
      <c r="F16" s="209">
        <v>61.6</v>
      </c>
      <c r="G16" s="209">
        <v>62.4</v>
      </c>
      <c r="H16" s="209">
        <v>63.2</v>
      </c>
      <c r="I16" s="209">
        <v>64.000000999999997</v>
      </c>
      <c r="J16" s="209">
        <v>64.800000999999995</v>
      </c>
      <c r="K16" s="209">
        <v>65.600002000000003</v>
      </c>
      <c r="L16" s="209">
        <v>66.400002000000001</v>
      </c>
      <c r="M16" s="209">
        <v>67.200001999999998</v>
      </c>
      <c r="N16" s="209">
        <v>68.000003000000007</v>
      </c>
      <c r="O16" s="73">
        <v>68.842348397523764</v>
      </c>
      <c r="P16" s="209">
        <v>69.600003000000001</v>
      </c>
      <c r="Q16" s="209">
        <v>70.400002000000001</v>
      </c>
      <c r="R16" s="209">
        <v>71.200001999999998</v>
      </c>
      <c r="S16" s="209">
        <v>72.000000999999997</v>
      </c>
      <c r="T16" s="209">
        <v>72.800000999999995</v>
      </c>
      <c r="U16" s="209">
        <v>73.600001000000006</v>
      </c>
      <c r="V16" s="209">
        <v>74.400000000000006</v>
      </c>
      <c r="W16" s="209">
        <v>75.2</v>
      </c>
      <c r="X16" s="209">
        <v>75.999999000000003</v>
      </c>
      <c r="Y16" s="209">
        <v>76.799999</v>
      </c>
      <c r="Z16" s="73">
        <v>77.596625164051801</v>
      </c>
      <c r="AA16" s="209">
        <v>78.089999000000006</v>
      </c>
      <c r="AB16" s="209">
        <v>78.579999000000001</v>
      </c>
      <c r="AC16" s="209">
        <v>79.069998999999996</v>
      </c>
      <c r="AD16" s="209">
        <v>79.559999000000005</v>
      </c>
      <c r="AE16" s="209">
        <v>80.049999</v>
      </c>
      <c r="AF16" s="209">
        <v>80.539998999999995</v>
      </c>
      <c r="AG16" s="209">
        <v>81.03</v>
      </c>
      <c r="AH16" s="209">
        <v>81.52</v>
      </c>
      <c r="AI16" s="209">
        <v>82.01</v>
      </c>
      <c r="AJ16" s="73">
        <v>82.49505460015007</v>
      </c>
      <c r="AK16" s="209">
        <v>82.855554999999995</v>
      </c>
      <c r="AL16" s="209">
        <v>83.211110000000005</v>
      </c>
      <c r="AM16" s="209">
        <v>83.566665999999998</v>
      </c>
      <c r="AN16" s="209">
        <v>83.922220999999993</v>
      </c>
      <c r="AO16" s="209">
        <v>84.277776000000003</v>
      </c>
      <c r="AP16" s="209">
        <v>84.633330999999998</v>
      </c>
      <c r="AQ16" s="209">
        <v>84.988887000000005</v>
      </c>
      <c r="AR16" s="209">
        <v>85.344442000000001</v>
      </c>
      <c r="AS16" s="73">
        <v>85.723474385797999</v>
      </c>
      <c r="AT16" s="209">
        <v>86.079997000000006</v>
      </c>
      <c r="AU16" s="209">
        <v>86.459997999999999</v>
      </c>
      <c r="AV16" s="209">
        <v>86.839997999999994</v>
      </c>
      <c r="AW16" s="209">
        <v>87.219998000000004</v>
      </c>
      <c r="AX16" s="209">
        <v>87.599997999999999</v>
      </c>
      <c r="AZ16" s="73"/>
      <c r="BA16" s="73"/>
      <c r="BB16" s="73"/>
      <c r="BC16" s="73"/>
    </row>
    <row r="17" spans="1:55">
      <c r="A17" s="3" t="s">
        <v>632</v>
      </c>
      <c r="B17" s="3" t="s">
        <v>633</v>
      </c>
      <c r="C17" s="3">
        <v>9</v>
      </c>
      <c r="D17" s="3" t="s">
        <v>641</v>
      </c>
      <c r="E17" s="73">
        <v>40.304603225461925</v>
      </c>
      <c r="F17" s="209">
        <v>41.839998999999999</v>
      </c>
      <c r="G17" s="209">
        <v>43.38</v>
      </c>
      <c r="H17" s="209">
        <v>44.92</v>
      </c>
      <c r="I17" s="209">
        <v>46.46</v>
      </c>
      <c r="J17" s="209">
        <v>48</v>
      </c>
      <c r="K17" s="209">
        <v>49.54</v>
      </c>
      <c r="L17" s="209">
        <v>51.08</v>
      </c>
      <c r="M17" s="209">
        <v>52.62</v>
      </c>
      <c r="N17" s="209">
        <v>54.160001000000001</v>
      </c>
      <c r="O17" s="73">
        <v>55.664155572904519</v>
      </c>
      <c r="P17" s="209">
        <v>56.800001000000002</v>
      </c>
      <c r="Q17" s="209">
        <v>57.900001000000003</v>
      </c>
      <c r="R17" s="209">
        <v>59.000000999999997</v>
      </c>
      <c r="S17" s="209">
        <v>60.100002000000003</v>
      </c>
      <c r="T17" s="209">
        <v>61.200001999999998</v>
      </c>
      <c r="U17" s="209">
        <v>62.300001999999999</v>
      </c>
      <c r="V17" s="209">
        <v>63.400002000000001</v>
      </c>
      <c r="W17" s="209">
        <v>64.500001999999995</v>
      </c>
      <c r="X17" s="209">
        <v>65.600003000000001</v>
      </c>
      <c r="Y17" s="209">
        <v>66.700002999999995</v>
      </c>
      <c r="Z17" s="73">
        <v>67.784183749024251</v>
      </c>
      <c r="AA17" s="209">
        <v>68.790002000000001</v>
      </c>
      <c r="AB17" s="209">
        <v>69.780001999999996</v>
      </c>
      <c r="AC17" s="209">
        <v>70.770000999999993</v>
      </c>
      <c r="AD17" s="209">
        <v>71.760001000000003</v>
      </c>
      <c r="AE17" s="209">
        <v>72.75</v>
      </c>
      <c r="AF17" s="209">
        <v>73.739998999999997</v>
      </c>
      <c r="AG17" s="209">
        <v>74.729999000000007</v>
      </c>
      <c r="AH17" s="209">
        <v>75.719998000000004</v>
      </c>
      <c r="AI17" s="209">
        <v>76.709997999999999</v>
      </c>
      <c r="AJ17" s="73">
        <v>77.725825644988575</v>
      </c>
      <c r="AK17" s="209">
        <v>78.055553000000003</v>
      </c>
      <c r="AL17" s="209">
        <v>78.411108999999996</v>
      </c>
      <c r="AM17" s="209">
        <v>78.766665000000003</v>
      </c>
      <c r="AN17" s="209">
        <v>79.122220999999996</v>
      </c>
      <c r="AO17" s="209">
        <v>79.477777000000003</v>
      </c>
      <c r="AP17" s="209">
        <v>79.833332999999996</v>
      </c>
      <c r="AQ17" s="209">
        <v>80.188889000000003</v>
      </c>
      <c r="AR17" s="209">
        <v>80.544444999999996</v>
      </c>
      <c r="AS17" s="73">
        <v>80.862641984902723</v>
      </c>
      <c r="AT17" s="209">
        <v>81.240001000000007</v>
      </c>
      <c r="AU17" s="209">
        <v>81.58</v>
      </c>
      <c r="AV17" s="209">
        <v>81.92</v>
      </c>
      <c r="AW17" s="209">
        <v>82.259998999999993</v>
      </c>
      <c r="AX17" s="209">
        <v>82.599997999999999</v>
      </c>
      <c r="AZ17" s="73"/>
      <c r="BA17" s="73"/>
      <c r="BB17" s="73"/>
      <c r="BC17" s="73"/>
    </row>
    <row r="18" spans="1:55">
      <c r="A18" s="3" t="s">
        <v>634</v>
      </c>
      <c r="B18" s="3" t="s">
        <v>715</v>
      </c>
      <c r="C18" s="3">
        <v>10</v>
      </c>
      <c r="D18" s="3" t="s">
        <v>664</v>
      </c>
      <c r="E18" s="73">
        <v>64.943657501091138</v>
      </c>
      <c r="F18" s="209">
        <v>65.770000999999993</v>
      </c>
      <c r="G18" s="209">
        <v>66.640000999999998</v>
      </c>
      <c r="H18" s="209">
        <v>67.510001000000003</v>
      </c>
      <c r="I18" s="209">
        <v>68.38</v>
      </c>
      <c r="J18" s="209">
        <v>69.25</v>
      </c>
      <c r="K18" s="209">
        <v>70.12</v>
      </c>
      <c r="L18" s="209">
        <v>70.989998999999997</v>
      </c>
      <c r="M18" s="209">
        <v>71.859999000000002</v>
      </c>
      <c r="N18" s="209">
        <v>72.729999000000007</v>
      </c>
      <c r="O18" s="73">
        <v>73.64319720590818</v>
      </c>
      <c r="P18" s="209">
        <v>74.327270999999996</v>
      </c>
      <c r="Q18" s="209">
        <v>75.054544000000007</v>
      </c>
      <c r="R18" s="209">
        <v>75.781817000000004</v>
      </c>
      <c r="S18" s="209">
        <v>76.509089000000003</v>
      </c>
      <c r="T18" s="209">
        <v>77.236362</v>
      </c>
      <c r="U18" s="209">
        <v>77.963634999999996</v>
      </c>
      <c r="V18" s="209">
        <v>78.690907999999993</v>
      </c>
      <c r="W18" s="209">
        <v>79.418180000000007</v>
      </c>
      <c r="X18" s="209">
        <v>80.145453000000003</v>
      </c>
      <c r="Y18" s="209">
        <v>80.872726</v>
      </c>
      <c r="Z18" s="73">
        <v>81.618061831362269</v>
      </c>
      <c r="AA18" s="209">
        <v>81.939999</v>
      </c>
      <c r="AB18" s="209">
        <v>82.279999000000004</v>
      </c>
      <c r="AC18" s="209">
        <v>82.619999000000007</v>
      </c>
      <c r="AD18" s="209">
        <v>82.959998999999996</v>
      </c>
      <c r="AE18" s="209">
        <v>83.299999</v>
      </c>
      <c r="AF18" s="209">
        <v>83.639999000000003</v>
      </c>
      <c r="AG18" s="209">
        <v>83.98</v>
      </c>
      <c r="AH18" s="209">
        <v>84.32</v>
      </c>
      <c r="AI18" s="209">
        <v>84.66</v>
      </c>
      <c r="AJ18" s="73">
        <v>84.994802970478261</v>
      </c>
      <c r="AK18" s="209">
        <v>85.266666999999998</v>
      </c>
      <c r="AL18" s="209">
        <v>85.533333999999996</v>
      </c>
      <c r="AM18" s="209">
        <v>85.800000999999995</v>
      </c>
      <c r="AN18" s="209">
        <v>86.066666999999995</v>
      </c>
      <c r="AO18" s="209">
        <v>86.333333999999994</v>
      </c>
      <c r="AP18" s="209">
        <v>86.600001000000006</v>
      </c>
      <c r="AQ18" s="209">
        <v>86.866668000000004</v>
      </c>
      <c r="AR18" s="209">
        <v>87.133335000000002</v>
      </c>
      <c r="AS18" s="73">
        <v>87.414804836426768</v>
      </c>
      <c r="AT18" s="209">
        <v>87.680002000000002</v>
      </c>
      <c r="AU18" s="209">
        <v>87.960002000000003</v>
      </c>
      <c r="AV18" s="209">
        <v>88.240002000000004</v>
      </c>
      <c r="AW18" s="209">
        <v>88.520003000000003</v>
      </c>
      <c r="AX18" s="209">
        <v>88.800003000000004</v>
      </c>
      <c r="AZ18" s="73"/>
      <c r="BA18" s="73"/>
      <c r="BB18" s="73"/>
      <c r="BC18" s="73"/>
    </row>
    <row r="19" spans="1:55">
      <c r="A19" s="3" t="s">
        <v>716</v>
      </c>
      <c r="B19" s="3" t="s">
        <v>717</v>
      </c>
      <c r="C19" s="3">
        <v>11</v>
      </c>
      <c r="D19" s="3" t="s">
        <v>541</v>
      </c>
      <c r="E19" s="73">
        <v>49.800324363915387</v>
      </c>
      <c r="F19" s="209">
        <v>51.309998999999998</v>
      </c>
      <c r="G19" s="209">
        <v>52.82</v>
      </c>
      <c r="H19" s="209">
        <v>54.33</v>
      </c>
      <c r="I19" s="209">
        <v>55.84</v>
      </c>
      <c r="J19" s="209">
        <v>57.35</v>
      </c>
      <c r="K19" s="209">
        <v>58.860000999999997</v>
      </c>
      <c r="L19" s="209">
        <v>60.370001000000002</v>
      </c>
      <c r="M19" s="209">
        <v>61.880001</v>
      </c>
      <c r="N19" s="209">
        <v>63.390000999999998</v>
      </c>
      <c r="O19" s="73">
        <v>64.875636223950835</v>
      </c>
      <c r="P19" s="209">
        <v>65.745456000000004</v>
      </c>
      <c r="Q19" s="209">
        <v>66.590909999999994</v>
      </c>
      <c r="R19" s="209">
        <v>67.436363999999998</v>
      </c>
      <c r="S19" s="209">
        <v>68.281818000000001</v>
      </c>
      <c r="T19" s="209">
        <v>69.127272000000005</v>
      </c>
      <c r="U19" s="209">
        <v>69.972725999999994</v>
      </c>
      <c r="V19" s="209">
        <v>70.818179999999998</v>
      </c>
      <c r="W19" s="209">
        <v>71.663634999999999</v>
      </c>
      <c r="X19" s="209">
        <v>72.509089000000003</v>
      </c>
      <c r="Y19" s="209">
        <v>73.354543000000007</v>
      </c>
      <c r="Z19" s="73">
        <v>74.182295112232495</v>
      </c>
      <c r="AA19" s="209">
        <v>74.909998000000002</v>
      </c>
      <c r="AB19" s="209">
        <v>75.619997999999995</v>
      </c>
      <c r="AC19" s="209">
        <v>76.329999000000001</v>
      </c>
      <c r="AD19" s="209">
        <v>77.039998999999995</v>
      </c>
      <c r="AE19" s="209">
        <v>77.75</v>
      </c>
      <c r="AF19" s="209">
        <v>78.460001000000005</v>
      </c>
      <c r="AG19" s="209">
        <v>79.170000999999999</v>
      </c>
      <c r="AH19" s="209">
        <v>79.880002000000005</v>
      </c>
      <c r="AI19" s="209">
        <v>80.590001999999998</v>
      </c>
      <c r="AJ19" s="73">
        <v>81.317366870034149</v>
      </c>
      <c r="AK19" s="209">
        <v>81.511112999999995</v>
      </c>
      <c r="AL19" s="209">
        <v>81.722223999999997</v>
      </c>
      <c r="AM19" s="209">
        <v>81.933334000000002</v>
      </c>
      <c r="AN19" s="209">
        <v>82.144445000000005</v>
      </c>
      <c r="AO19" s="209">
        <v>82.355554999999995</v>
      </c>
      <c r="AP19" s="209">
        <v>82.566665999999998</v>
      </c>
      <c r="AQ19" s="209">
        <v>82.777776000000003</v>
      </c>
      <c r="AR19" s="209">
        <v>82.988887000000005</v>
      </c>
      <c r="AS19" s="73">
        <v>83.180802066775144</v>
      </c>
      <c r="AT19" s="209">
        <v>83.399996999999999</v>
      </c>
      <c r="AU19" s="209">
        <v>83.599997000000002</v>
      </c>
      <c r="AV19" s="209">
        <v>83.799997000000005</v>
      </c>
      <c r="AW19" s="209">
        <v>83.999996999999993</v>
      </c>
      <c r="AX19" s="209">
        <v>84.199996999999996</v>
      </c>
      <c r="AZ19" s="73"/>
      <c r="BA19" s="73"/>
      <c r="BB19" s="73"/>
      <c r="BC19" s="73"/>
    </row>
    <row r="20" spans="1:55">
      <c r="A20" s="3" t="s">
        <v>718</v>
      </c>
      <c r="B20" s="3" t="s">
        <v>719</v>
      </c>
      <c r="C20" s="3">
        <v>12</v>
      </c>
      <c r="D20" s="3" t="s">
        <v>664</v>
      </c>
      <c r="E20" s="73">
        <v>51.527852198741897</v>
      </c>
      <c r="F20" s="209">
        <v>52.52</v>
      </c>
      <c r="G20" s="209">
        <v>53.54</v>
      </c>
      <c r="H20" s="209">
        <v>54.56</v>
      </c>
      <c r="I20" s="209">
        <v>55.58</v>
      </c>
      <c r="J20" s="209">
        <v>56.6</v>
      </c>
      <c r="K20" s="209">
        <v>57.62</v>
      </c>
      <c r="L20" s="209">
        <v>58.640000999999998</v>
      </c>
      <c r="M20" s="209">
        <v>59.660001000000001</v>
      </c>
      <c r="N20" s="209">
        <v>60.680000999999997</v>
      </c>
      <c r="O20" s="73">
        <v>61.654396317068269</v>
      </c>
      <c r="P20" s="209">
        <v>62.972727999999996</v>
      </c>
      <c r="Q20" s="209">
        <v>64.245455000000007</v>
      </c>
      <c r="R20" s="209">
        <v>65.518181999999996</v>
      </c>
      <c r="S20" s="209">
        <v>66.790908000000002</v>
      </c>
      <c r="T20" s="209">
        <v>68.063635000000005</v>
      </c>
      <c r="U20" s="209">
        <v>69.336361999999994</v>
      </c>
      <c r="V20" s="209">
        <v>70.609088999999997</v>
      </c>
      <c r="W20" s="209">
        <v>71.881816000000001</v>
      </c>
      <c r="X20" s="209">
        <v>73.154543000000004</v>
      </c>
      <c r="Y20" s="209">
        <v>74.427269999999993</v>
      </c>
      <c r="Z20" s="73">
        <v>75.722718809037332</v>
      </c>
      <c r="AA20" s="209">
        <v>76.439997000000005</v>
      </c>
      <c r="AB20" s="209">
        <v>77.179997</v>
      </c>
      <c r="AC20" s="209">
        <v>77.919996999999995</v>
      </c>
      <c r="AD20" s="209">
        <v>78.659998000000002</v>
      </c>
      <c r="AE20" s="209">
        <v>79.399997999999997</v>
      </c>
      <c r="AF20" s="209">
        <v>80.139998000000006</v>
      </c>
      <c r="AG20" s="209">
        <v>80.879998000000001</v>
      </c>
      <c r="AH20" s="209">
        <v>81.619997999999995</v>
      </c>
      <c r="AI20" s="209">
        <v>82.359998000000004</v>
      </c>
      <c r="AJ20" s="73">
        <v>83.14521885765717</v>
      </c>
      <c r="AK20" s="209">
        <v>83.477776000000006</v>
      </c>
      <c r="AL20" s="209">
        <v>83.855553999999998</v>
      </c>
      <c r="AM20" s="209">
        <v>84.233332000000004</v>
      </c>
      <c r="AN20" s="209">
        <v>84.611109999999996</v>
      </c>
      <c r="AO20" s="209">
        <v>84.988888000000003</v>
      </c>
      <c r="AP20" s="209">
        <v>85.366665999999995</v>
      </c>
      <c r="AQ20" s="209">
        <v>85.744444000000001</v>
      </c>
      <c r="AR20" s="209">
        <v>86.122221999999994</v>
      </c>
      <c r="AS20" s="73">
        <v>86.475323850114791</v>
      </c>
      <c r="AT20" s="209">
        <v>86.88</v>
      </c>
      <c r="AU20" s="209">
        <v>87.260001000000003</v>
      </c>
      <c r="AV20" s="209">
        <v>87.640000999999998</v>
      </c>
      <c r="AW20" s="209">
        <v>88.020000999999993</v>
      </c>
      <c r="AX20" s="209">
        <v>88.400002000000001</v>
      </c>
      <c r="AZ20" s="73"/>
      <c r="BA20" s="73"/>
      <c r="BB20" s="73"/>
      <c r="BC20" s="73"/>
    </row>
    <row r="21" spans="1:55">
      <c r="A21" s="3" t="s">
        <v>711</v>
      </c>
      <c r="B21" s="3" t="s">
        <v>712</v>
      </c>
      <c r="C21" s="3">
        <v>13</v>
      </c>
      <c r="D21" s="3" t="s">
        <v>713</v>
      </c>
      <c r="E21" s="73">
        <v>65.865529378516555</v>
      </c>
      <c r="F21" s="209">
        <v>66.200001999999998</v>
      </c>
      <c r="G21" s="209">
        <v>66.500001999999995</v>
      </c>
      <c r="H21" s="209">
        <v>66.800002000000006</v>
      </c>
      <c r="I21" s="209">
        <v>67.100002000000003</v>
      </c>
      <c r="J21" s="209">
        <v>67.400002000000001</v>
      </c>
      <c r="K21" s="209">
        <v>67.700001999999998</v>
      </c>
      <c r="L21" s="209">
        <v>68.000001999999995</v>
      </c>
      <c r="M21" s="209">
        <v>68.300002000000006</v>
      </c>
      <c r="N21" s="209">
        <v>68.600002000000003</v>
      </c>
      <c r="O21" s="73">
        <v>68.919135816917844</v>
      </c>
      <c r="P21" s="209">
        <v>69.709092999999996</v>
      </c>
      <c r="Q21" s="209">
        <v>70.518184000000005</v>
      </c>
      <c r="R21" s="209">
        <v>71.327275</v>
      </c>
      <c r="S21" s="209">
        <v>72.136365999999995</v>
      </c>
      <c r="T21" s="209">
        <v>72.945457000000005</v>
      </c>
      <c r="U21" s="209">
        <v>73.754548</v>
      </c>
      <c r="V21" s="209">
        <v>74.563638999999995</v>
      </c>
      <c r="W21" s="209">
        <v>75.372730000000004</v>
      </c>
      <c r="X21" s="209">
        <v>76.181820999999999</v>
      </c>
      <c r="Y21" s="209">
        <v>76.990911999999994</v>
      </c>
      <c r="Z21" s="73">
        <v>77.843595772261722</v>
      </c>
      <c r="AA21" s="209">
        <v>77.950002999999995</v>
      </c>
      <c r="AB21" s="209">
        <v>78.100003000000001</v>
      </c>
      <c r="AC21" s="209">
        <v>78.250003000000007</v>
      </c>
      <c r="AD21" s="209">
        <v>78.400002999999998</v>
      </c>
      <c r="AE21" s="209">
        <v>78.550003000000004</v>
      </c>
      <c r="AF21" s="209">
        <v>78.700002999999995</v>
      </c>
      <c r="AG21" s="209">
        <v>78.850003000000001</v>
      </c>
      <c r="AH21" s="209">
        <v>79.000003000000007</v>
      </c>
      <c r="AI21" s="209">
        <v>79.150002999999998</v>
      </c>
      <c r="AJ21" s="73">
        <v>79.301503939794287</v>
      </c>
      <c r="AK21" s="209">
        <v>79.477780999999993</v>
      </c>
      <c r="AL21" s="209">
        <v>79.655557999999999</v>
      </c>
      <c r="AM21" s="209">
        <v>79.833336000000003</v>
      </c>
      <c r="AN21" s="209">
        <v>80.011112999999995</v>
      </c>
      <c r="AO21" s="209">
        <v>80.188890999999998</v>
      </c>
      <c r="AP21" s="209">
        <v>80.366669000000002</v>
      </c>
      <c r="AQ21" s="209">
        <v>80.544445999999994</v>
      </c>
      <c r="AR21" s="209">
        <v>80.722223999999997</v>
      </c>
      <c r="AS21" s="73">
        <v>80.870639341801763</v>
      </c>
      <c r="AT21" s="209">
        <v>81.080001999999993</v>
      </c>
      <c r="AU21" s="209">
        <v>81.260002</v>
      </c>
      <c r="AV21" s="209">
        <v>81.440002000000007</v>
      </c>
      <c r="AW21" s="209">
        <v>81.620002999999997</v>
      </c>
      <c r="AX21" s="209">
        <v>81.800003000000004</v>
      </c>
      <c r="AZ21" s="73"/>
      <c r="BA21" s="73"/>
      <c r="BB21" s="73"/>
      <c r="BC21" s="73"/>
    </row>
    <row r="22" spans="1:55">
      <c r="A22" s="3" t="s">
        <v>714</v>
      </c>
      <c r="B22" s="3" t="s">
        <v>530</v>
      </c>
      <c r="C22" s="3">
        <v>14</v>
      </c>
      <c r="D22" s="3" t="s">
        <v>641</v>
      </c>
      <c r="E22" s="73">
        <v>37.463771387296283</v>
      </c>
      <c r="F22" s="209">
        <v>38.79</v>
      </c>
      <c r="G22" s="209">
        <v>40.08</v>
      </c>
      <c r="H22" s="209">
        <v>41.37</v>
      </c>
      <c r="I22" s="209">
        <v>42.660001000000001</v>
      </c>
      <c r="J22" s="209">
        <v>43.950001</v>
      </c>
      <c r="K22" s="209">
        <v>45.240000999999999</v>
      </c>
      <c r="L22" s="209">
        <v>46.530000999999999</v>
      </c>
      <c r="M22" s="209">
        <v>47.820000999999998</v>
      </c>
      <c r="N22" s="209">
        <v>49.110000999999997</v>
      </c>
      <c r="O22" s="73">
        <v>50.442546992497164</v>
      </c>
      <c r="P22" s="209">
        <v>51.500000999999997</v>
      </c>
      <c r="Q22" s="209">
        <v>52.600000999999999</v>
      </c>
      <c r="R22" s="209">
        <v>53.700001</v>
      </c>
      <c r="S22" s="209">
        <v>54.800001000000002</v>
      </c>
      <c r="T22" s="209">
        <v>55.900001000000003</v>
      </c>
      <c r="U22" s="209">
        <v>57.000000999999997</v>
      </c>
      <c r="V22" s="209">
        <v>58.100000999999999</v>
      </c>
      <c r="W22" s="209">
        <v>59.2</v>
      </c>
      <c r="X22" s="209">
        <v>60.3</v>
      </c>
      <c r="Y22" s="209">
        <v>61.4</v>
      </c>
      <c r="Z22" s="73">
        <v>62.543746791479435</v>
      </c>
      <c r="AA22" s="209">
        <v>63.29</v>
      </c>
      <c r="AB22" s="209">
        <v>64.08</v>
      </c>
      <c r="AC22" s="209">
        <v>64.87</v>
      </c>
      <c r="AD22" s="209">
        <v>65.660000999999994</v>
      </c>
      <c r="AE22" s="209">
        <v>66.450001</v>
      </c>
      <c r="AF22" s="209">
        <v>67.240001000000007</v>
      </c>
      <c r="AG22" s="209">
        <v>68.030000999999999</v>
      </c>
      <c r="AH22" s="209">
        <v>68.820001000000005</v>
      </c>
      <c r="AI22" s="209">
        <v>69.610000999999997</v>
      </c>
      <c r="AJ22" s="73">
        <v>70.433195722106802</v>
      </c>
      <c r="AK22" s="209">
        <v>70.777778999999995</v>
      </c>
      <c r="AL22" s="209">
        <v>71.155557000000002</v>
      </c>
      <c r="AM22" s="209">
        <v>71.533334999999994</v>
      </c>
      <c r="AN22" s="209">
        <v>71.911113</v>
      </c>
      <c r="AO22" s="209">
        <v>72.288891000000007</v>
      </c>
      <c r="AP22" s="209">
        <v>72.666668999999999</v>
      </c>
      <c r="AQ22" s="209">
        <v>73.044447000000005</v>
      </c>
      <c r="AR22" s="209">
        <v>73.422224999999997</v>
      </c>
      <c r="AS22" s="73">
        <v>73.761725065427981</v>
      </c>
      <c r="AT22" s="209">
        <v>74.180002000000002</v>
      </c>
      <c r="AU22" s="209">
        <v>74.560001</v>
      </c>
      <c r="AV22" s="209">
        <v>74.939999</v>
      </c>
      <c r="AW22" s="209">
        <v>75.319997999999998</v>
      </c>
      <c r="AX22" s="209">
        <v>75.699996999999996</v>
      </c>
      <c r="AZ22" s="73"/>
      <c r="BA22" s="73"/>
      <c r="BB22" s="73"/>
      <c r="BC22" s="73"/>
    </row>
    <row r="23" spans="1:55">
      <c r="A23" s="3" t="s">
        <v>620</v>
      </c>
      <c r="B23" s="3" t="s">
        <v>621</v>
      </c>
      <c r="C23" s="3">
        <v>15</v>
      </c>
      <c r="D23" s="3" t="s">
        <v>541</v>
      </c>
      <c r="E23" s="73">
        <v>65.981755838778554</v>
      </c>
      <c r="F23" s="209">
        <v>67.010000000000005</v>
      </c>
      <c r="G23" s="209">
        <v>68.02</v>
      </c>
      <c r="H23" s="209">
        <v>69.03</v>
      </c>
      <c r="I23" s="209">
        <v>70.039998999999995</v>
      </c>
      <c r="J23" s="209">
        <v>71.049999</v>
      </c>
      <c r="K23" s="209">
        <v>72.059999000000005</v>
      </c>
      <c r="L23" s="209">
        <v>73.069998999999996</v>
      </c>
      <c r="M23" s="209">
        <v>74.079999000000001</v>
      </c>
      <c r="N23" s="209">
        <v>75.089999000000006</v>
      </c>
      <c r="O23" s="73">
        <v>76.115644863645684</v>
      </c>
      <c r="P23" s="209">
        <v>77.027271999999996</v>
      </c>
      <c r="Q23" s="209">
        <v>77.954544999999996</v>
      </c>
      <c r="R23" s="209">
        <v>78.881817999999996</v>
      </c>
      <c r="S23" s="209">
        <v>79.809090999999995</v>
      </c>
      <c r="T23" s="209">
        <v>80.736363999999995</v>
      </c>
      <c r="U23" s="209">
        <v>81.663636999999994</v>
      </c>
      <c r="V23" s="209">
        <v>82.590909999999994</v>
      </c>
      <c r="W23" s="209">
        <v>83.518184000000005</v>
      </c>
      <c r="X23" s="209">
        <v>84.445457000000005</v>
      </c>
      <c r="Y23" s="209">
        <v>85.372730000000004</v>
      </c>
      <c r="Z23" s="73">
        <v>86.297459320582362</v>
      </c>
      <c r="AA23" s="209">
        <v>86.530002999999994</v>
      </c>
      <c r="AB23" s="209">
        <v>86.760002</v>
      </c>
      <c r="AC23" s="209">
        <v>86.990002000000004</v>
      </c>
      <c r="AD23" s="209">
        <v>87.220000999999996</v>
      </c>
      <c r="AE23" s="209">
        <v>87.450001</v>
      </c>
      <c r="AF23" s="209">
        <v>87.68</v>
      </c>
      <c r="AG23" s="209">
        <v>87.91</v>
      </c>
      <c r="AH23" s="209">
        <v>88.139999000000003</v>
      </c>
      <c r="AI23" s="209">
        <v>88.369999000000007</v>
      </c>
      <c r="AJ23" s="73">
        <v>88.575044025687802</v>
      </c>
      <c r="AK23" s="209">
        <v>88.933331999999993</v>
      </c>
      <c r="AL23" s="209">
        <v>89.266665000000003</v>
      </c>
      <c r="AM23" s="209">
        <v>89.599997999999999</v>
      </c>
      <c r="AN23" s="209">
        <v>89.933331999999993</v>
      </c>
      <c r="AO23" s="209">
        <v>90.266665000000003</v>
      </c>
      <c r="AP23" s="209">
        <v>90.599997999999999</v>
      </c>
      <c r="AQ23" s="209">
        <v>90.933331999999993</v>
      </c>
      <c r="AR23" s="209">
        <v>91.266665000000003</v>
      </c>
      <c r="AS23" s="73">
        <v>91.609495234605433</v>
      </c>
      <c r="AT23" s="209">
        <v>91.939999</v>
      </c>
      <c r="AU23" s="209">
        <v>92.28</v>
      </c>
      <c r="AV23" s="209">
        <v>92.620001000000002</v>
      </c>
      <c r="AW23" s="209">
        <v>92.960002000000003</v>
      </c>
      <c r="AX23" s="209">
        <v>93.300003000000004</v>
      </c>
      <c r="AZ23" s="73"/>
      <c r="BA23" s="73"/>
      <c r="BB23" s="73"/>
      <c r="BC23" s="73"/>
    </row>
    <row r="24" spans="1:55">
      <c r="A24" s="3" t="s">
        <v>622</v>
      </c>
      <c r="B24" s="3" t="s">
        <v>925</v>
      </c>
      <c r="C24" s="3">
        <v>16</v>
      </c>
      <c r="D24" s="3" t="s">
        <v>541</v>
      </c>
      <c r="E24" s="73">
        <v>59.619529209281779</v>
      </c>
      <c r="F24" s="209">
        <v>60.819999000000003</v>
      </c>
      <c r="G24" s="209">
        <v>62.039999000000002</v>
      </c>
      <c r="H24" s="209">
        <v>63.26</v>
      </c>
      <c r="I24" s="209">
        <v>64.48</v>
      </c>
      <c r="J24" s="209">
        <v>65.700001</v>
      </c>
      <c r="K24" s="209">
        <v>66.920000999999999</v>
      </c>
      <c r="L24" s="209">
        <v>68.140001999999996</v>
      </c>
      <c r="M24" s="209">
        <v>69.360001999999994</v>
      </c>
      <c r="N24" s="209">
        <v>70.580003000000005</v>
      </c>
      <c r="O24" s="73">
        <v>71.832562070566624</v>
      </c>
      <c r="P24" s="209">
        <v>72.536366999999998</v>
      </c>
      <c r="Q24" s="209">
        <v>73.272729999999996</v>
      </c>
      <c r="R24" s="209">
        <v>74.009094000000005</v>
      </c>
      <c r="S24" s="209">
        <v>74.745457000000002</v>
      </c>
      <c r="T24" s="209">
        <v>75.481820999999997</v>
      </c>
      <c r="U24" s="209">
        <v>76.218183999999994</v>
      </c>
      <c r="V24" s="209">
        <v>76.954548000000003</v>
      </c>
      <c r="W24" s="209">
        <v>77.690911</v>
      </c>
      <c r="X24" s="209">
        <v>78.427274999999995</v>
      </c>
      <c r="Y24" s="209">
        <v>79.163638000000006</v>
      </c>
      <c r="Z24" s="73">
        <v>79.919569352687205</v>
      </c>
      <c r="AA24" s="209">
        <v>80.350002000000003</v>
      </c>
      <c r="AB24" s="209">
        <v>80.800002000000006</v>
      </c>
      <c r="AC24" s="209">
        <v>81.250001999999995</v>
      </c>
      <c r="AD24" s="209">
        <v>81.700001999999998</v>
      </c>
      <c r="AE24" s="209">
        <v>82.150002000000001</v>
      </c>
      <c r="AF24" s="209">
        <v>82.600002000000003</v>
      </c>
      <c r="AG24" s="209">
        <v>83.050002000000006</v>
      </c>
      <c r="AH24" s="209">
        <v>83.500001999999995</v>
      </c>
      <c r="AI24" s="209">
        <v>83.950001999999998</v>
      </c>
      <c r="AJ24" s="73">
        <v>84.39226369428134</v>
      </c>
      <c r="AK24" s="209">
        <v>84.700001</v>
      </c>
      <c r="AL24" s="209">
        <v>85.000000999999997</v>
      </c>
      <c r="AM24" s="209">
        <v>85.300000999999995</v>
      </c>
      <c r="AN24" s="209">
        <v>85.6</v>
      </c>
      <c r="AO24" s="209">
        <v>85.9</v>
      </c>
      <c r="AP24" s="209">
        <v>86.199999000000005</v>
      </c>
      <c r="AQ24" s="209">
        <v>86.499999000000003</v>
      </c>
      <c r="AR24" s="209">
        <v>86.799999</v>
      </c>
      <c r="AS24" s="73">
        <v>87.054623460607999</v>
      </c>
      <c r="AT24" s="209">
        <v>87.399997999999997</v>
      </c>
      <c r="AU24" s="209">
        <v>87.699997999999994</v>
      </c>
      <c r="AV24" s="209">
        <v>87.999998000000005</v>
      </c>
      <c r="AW24" s="209">
        <v>88.299998000000002</v>
      </c>
      <c r="AX24" s="209">
        <v>88.599997999999999</v>
      </c>
      <c r="AZ24" s="73"/>
      <c r="BA24" s="73"/>
      <c r="BB24" s="73"/>
      <c r="BC24" s="73"/>
    </row>
    <row r="25" spans="1:55">
      <c r="A25" s="3" t="s">
        <v>926</v>
      </c>
      <c r="B25" s="3" t="s">
        <v>927</v>
      </c>
      <c r="C25" s="3">
        <v>17</v>
      </c>
      <c r="D25" s="3" t="s">
        <v>664</v>
      </c>
      <c r="E25" s="73">
        <v>62.813675086258812</v>
      </c>
      <c r="F25" s="209">
        <v>63.7</v>
      </c>
      <c r="G25" s="209">
        <v>64.599999999999994</v>
      </c>
      <c r="H25" s="209">
        <v>65.5</v>
      </c>
      <c r="I25" s="209">
        <v>66.400001000000003</v>
      </c>
      <c r="J25" s="209">
        <v>67.300000999999995</v>
      </c>
      <c r="K25" s="209">
        <v>68.200001999999998</v>
      </c>
      <c r="L25" s="209">
        <v>69.100002000000003</v>
      </c>
      <c r="M25" s="209">
        <v>70.000001999999995</v>
      </c>
      <c r="N25" s="209">
        <v>70.900002999999998</v>
      </c>
      <c r="O25" s="73">
        <v>71.832033430386048</v>
      </c>
      <c r="P25" s="209">
        <v>72.454548000000003</v>
      </c>
      <c r="Q25" s="209">
        <v>73.109093000000001</v>
      </c>
      <c r="R25" s="209">
        <v>73.763638999999998</v>
      </c>
      <c r="S25" s="209">
        <v>74.418183999999997</v>
      </c>
      <c r="T25" s="209">
        <v>75.072728999999995</v>
      </c>
      <c r="U25" s="209">
        <v>75.727273999999994</v>
      </c>
      <c r="V25" s="209">
        <v>76.381818999999993</v>
      </c>
      <c r="W25" s="209">
        <v>77.036364000000006</v>
      </c>
      <c r="X25" s="209">
        <v>77.690910000000002</v>
      </c>
      <c r="Y25" s="209">
        <v>78.345455000000001</v>
      </c>
      <c r="Z25" s="73">
        <v>78.981542521933193</v>
      </c>
      <c r="AA25" s="209">
        <v>79.44</v>
      </c>
      <c r="AB25" s="209">
        <v>79.88</v>
      </c>
      <c r="AC25" s="209">
        <v>80.319999999999993</v>
      </c>
      <c r="AD25" s="209">
        <v>80.760001000000003</v>
      </c>
      <c r="AE25" s="209">
        <v>81.200001</v>
      </c>
      <c r="AF25" s="209">
        <v>81.640000999999998</v>
      </c>
      <c r="AG25" s="209">
        <v>82.080000999999996</v>
      </c>
      <c r="AH25" s="209">
        <v>82.520000999999993</v>
      </c>
      <c r="AI25" s="209">
        <v>82.960001000000005</v>
      </c>
      <c r="AJ25" s="73">
        <v>83.422470300291636</v>
      </c>
      <c r="AK25" s="209">
        <v>83.811111999999994</v>
      </c>
      <c r="AL25" s="209">
        <v>84.222223</v>
      </c>
      <c r="AM25" s="209">
        <v>84.633334000000005</v>
      </c>
      <c r="AN25" s="209">
        <v>85.044444999999996</v>
      </c>
      <c r="AO25" s="209">
        <v>85.455555000000004</v>
      </c>
      <c r="AP25" s="209">
        <v>85.866665999999995</v>
      </c>
      <c r="AQ25" s="209">
        <v>86.277777</v>
      </c>
      <c r="AR25" s="209">
        <v>86.688888000000006</v>
      </c>
      <c r="AS25" s="73">
        <v>87.114236097101454</v>
      </c>
      <c r="AT25" s="209">
        <v>87.519998000000001</v>
      </c>
      <c r="AU25" s="209">
        <v>87.939998000000003</v>
      </c>
      <c r="AV25" s="209">
        <v>88.359998000000004</v>
      </c>
      <c r="AW25" s="209">
        <v>88.779996999999995</v>
      </c>
      <c r="AX25" s="209">
        <v>89.199996999999996</v>
      </c>
      <c r="AZ25" s="73"/>
      <c r="BA25" s="73"/>
      <c r="BB25" s="73"/>
      <c r="BC25" s="73"/>
    </row>
    <row r="26" spans="1:55">
      <c r="A26" s="3" t="s">
        <v>928</v>
      </c>
      <c r="B26" s="3" t="s">
        <v>929</v>
      </c>
      <c r="C26" s="3">
        <v>18</v>
      </c>
      <c r="D26" s="3" t="s">
        <v>713</v>
      </c>
      <c r="E26" s="73">
        <v>62.352289224333056</v>
      </c>
      <c r="F26" s="209">
        <v>63.360000999999997</v>
      </c>
      <c r="G26" s="209">
        <v>64.320001000000005</v>
      </c>
      <c r="H26" s="209">
        <v>65.280000999999999</v>
      </c>
      <c r="I26" s="209">
        <v>66.240001000000007</v>
      </c>
      <c r="J26" s="209">
        <v>67.200001</v>
      </c>
      <c r="K26" s="209">
        <v>68.160000999999994</v>
      </c>
      <c r="L26" s="209">
        <v>69.12</v>
      </c>
      <c r="M26" s="209">
        <v>70.08</v>
      </c>
      <c r="N26" s="209">
        <v>71.040000000000006</v>
      </c>
      <c r="O26" s="73">
        <v>71.972805466375945</v>
      </c>
      <c r="P26" s="209">
        <v>72.754546000000005</v>
      </c>
      <c r="Q26" s="209">
        <v>73.509090999999998</v>
      </c>
      <c r="R26" s="209">
        <v>74.263637000000003</v>
      </c>
      <c r="S26" s="209">
        <v>75.018182999999993</v>
      </c>
      <c r="T26" s="209">
        <v>75.772728999999998</v>
      </c>
      <c r="U26" s="209">
        <v>76.527274000000006</v>
      </c>
      <c r="V26" s="209">
        <v>77.281819999999996</v>
      </c>
      <c r="W26" s="209">
        <v>78.036366000000001</v>
      </c>
      <c r="X26" s="209">
        <v>78.790912000000006</v>
      </c>
      <c r="Y26" s="209">
        <v>79.545456999999999</v>
      </c>
      <c r="Z26" s="73">
        <v>80.27311500524857</v>
      </c>
      <c r="AA26" s="209">
        <v>80.870002999999997</v>
      </c>
      <c r="AB26" s="209">
        <v>81.440002000000007</v>
      </c>
      <c r="AC26" s="209">
        <v>82.010002</v>
      </c>
      <c r="AD26" s="209">
        <v>82.580001999999993</v>
      </c>
      <c r="AE26" s="209">
        <v>83.150002000000001</v>
      </c>
      <c r="AF26" s="209">
        <v>83.720000999999996</v>
      </c>
      <c r="AG26" s="209">
        <v>84.290001000000004</v>
      </c>
      <c r="AH26" s="209">
        <v>84.860000999999997</v>
      </c>
      <c r="AI26" s="209">
        <v>85.43</v>
      </c>
      <c r="AJ26" s="73">
        <v>85.968101183343208</v>
      </c>
      <c r="AK26" s="209">
        <v>86.122221999999994</v>
      </c>
      <c r="AL26" s="209">
        <v>86.244444000000001</v>
      </c>
      <c r="AM26" s="209">
        <v>86.366665999999995</v>
      </c>
      <c r="AN26" s="209">
        <v>86.488888000000003</v>
      </c>
      <c r="AO26" s="209">
        <v>86.611109999999996</v>
      </c>
      <c r="AP26" s="209">
        <v>86.733332000000004</v>
      </c>
      <c r="AQ26" s="209">
        <v>86.855553999999998</v>
      </c>
      <c r="AR26" s="209">
        <v>86.977776000000006</v>
      </c>
      <c r="AS26" s="73">
        <v>87.127030856538752</v>
      </c>
      <c r="AT26" s="209">
        <v>87.239998999999997</v>
      </c>
      <c r="AU26" s="209">
        <v>87.38</v>
      </c>
      <c r="AV26" s="209">
        <v>87.520000999999993</v>
      </c>
      <c r="AW26" s="209">
        <v>87.660002000000006</v>
      </c>
      <c r="AX26" s="209">
        <v>87.800003000000004</v>
      </c>
      <c r="AZ26" s="73"/>
      <c r="BA26" s="73"/>
      <c r="BB26" s="73"/>
      <c r="BC26" s="73"/>
    </row>
    <row r="27" spans="1:55">
      <c r="A27" s="3" t="s">
        <v>841</v>
      </c>
      <c r="B27" s="3" t="s">
        <v>659</v>
      </c>
      <c r="C27" s="3">
        <v>19</v>
      </c>
      <c r="D27" s="3" t="s">
        <v>713</v>
      </c>
      <c r="E27" s="73">
        <v>57.280061048729969</v>
      </c>
      <c r="F27" s="209">
        <v>58.569999000000003</v>
      </c>
      <c r="G27" s="209">
        <v>59.839998999999999</v>
      </c>
      <c r="H27" s="209">
        <v>61.109999000000002</v>
      </c>
      <c r="I27" s="209">
        <v>62.38</v>
      </c>
      <c r="J27" s="209">
        <v>63.65</v>
      </c>
      <c r="K27" s="209">
        <v>64.92</v>
      </c>
      <c r="L27" s="209">
        <v>66.19</v>
      </c>
      <c r="M27" s="209">
        <v>67.459999999999994</v>
      </c>
      <c r="N27" s="209">
        <v>68.73</v>
      </c>
      <c r="O27" s="73">
        <v>70.03675098873218</v>
      </c>
      <c r="P27" s="209">
        <v>71.009090999999998</v>
      </c>
      <c r="Q27" s="209">
        <v>72.018181999999996</v>
      </c>
      <c r="R27" s="209">
        <v>73.027271999999996</v>
      </c>
      <c r="S27" s="209">
        <v>74.036362999999994</v>
      </c>
      <c r="T27" s="209">
        <v>75.045454000000007</v>
      </c>
      <c r="U27" s="209">
        <v>76.054545000000005</v>
      </c>
      <c r="V27" s="209">
        <v>77.063635000000005</v>
      </c>
      <c r="W27" s="209">
        <v>78.072726000000003</v>
      </c>
      <c r="X27" s="209">
        <v>79.081817000000001</v>
      </c>
      <c r="Y27" s="209">
        <v>80.090907999999999</v>
      </c>
      <c r="Z27" s="73">
        <v>81.128821677174315</v>
      </c>
      <c r="AA27" s="209">
        <v>81.699997999999994</v>
      </c>
      <c r="AB27" s="209">
        <v>82.299998000000002</v>
      </c>
      <c r="AC27" s="209">
        <v>82.899997999999997</v>
      </c>
      <c r="AD27" s="209">
        <v>83.499998000000005</v>
      </c>
      <c r="AE27" s="209">
        <v>84.099997999999999</v>
      </c>
      <c r="AF27" s="209">
        <v>84.699997999999994</v>
      </c>
      <c r="AG27" s="209">
        <v>85.299998000000002</v>
      </c>
      <c r="AH27" s="209">
        <v>85.899997999999997</v>
      </c>
      <c r="AI27" s="209">
        <v>86.499998000000005</v>
      </c>
      <c r="AJ27" s="73">
        <v>87.111512150309977</v>
      </c>
      <c r="AK27" s="209">
        <v>87.277776000000003</v>
      </c>
      <c r="AL27" s="209">
        <v>87.455554000000006</v>
      </c>
      <c r="AM27" s="209">
        <v>87.633330999999998</v>
      </c>
      <c r="AN27" s="209">
        <v>87.811109000000002</v>
      </c>
      <c r="AO27" s="209">
        <v>87.988887000000005</v>
      </c>
      <c r="AP27" s="209">
        <v>88.166663999999997</v>
      </c>
      <c r="AQ27" s="209">
        <v>88.344442000000001</v>
      </c>
      <c r="AR27" s="209">
        <v>88.522219000000007</v>
      </c>
      <c r="AS27" s="73">
        <v>88.672480396012119</v>
      </c>
      <c r="AT27" s="209">
        <v>88.859998000000004</v>
      </c>
      <c r="AU27" s="209">
        <v>89.019998000000001</v>
      </c>
      <c r="AV27" s="209">
        <v>89.179998999999995</v>
      </c>
      <c r="AW27" s="209">
        <v>89.339999000000006</v>
      </c>
      <c r="AX27" s="209">
        <v>89.5</v>
      </c>
      <c r="AZ27" s="73"/>
      <c r="BA27" s="73"/>
      <c r="BB27" s="73"/>
      <c r="BC27" s="73"/>
    </row>
    <row r="28" spans="1:55">
      <c r="A28" s="3" t="s">
        <v>660</v>
      </c>
      <c r="B28" s="3" t="s">
        <v>661</v>
      </c>
      <c r="C28" s="3">
        <v>20</v>
      </c>
      <c r="D28" s="3" t="s">
        <v>541</v>
      </c>
      <c r="E28" s="73">
        <v>76.309838142486711</v>
      </c>
      <c r="F28" s="209">
        <v>77.350003000000001</v>
      </c>
      <c r="G28" s="209">
        <v>78.400002999999998</v>
      </c>
      <c r="H28" s="209">
        <v>79.450002999999995</v>
      </c>
      <c r="I28" s="209">
        <v>80.500003000000007</v>
      </c>
      <c r="J28" s="209">
        <v>81.550003000000004</v>
      </c>
      <c r="K28" s="209">
        <v>82.600003000000001</v>
      </c>
      <c r="L28" s="209">
        <v>83.650002999999998</v>
      </c>
      <c r="M28" s="209">
        <v>84.700002999999995</v>
      </c>
      <c r="N28" s="209">
        <v>85.750003000000007</v>
      </c>
      <c r="O28" s="73">
        <v>86.806274523451165</v>
      </c>
      <c r="P28" s="209">
        <v>87.218185000000005</v>
      </c>
      <c r="Q28" s="209">
        <v>87.636365999999995</v>
      </c>
      <c r="R28" s="209">
        <v>88.054547999999997</v>
      </c>
      <c r="S28" s="209">
        <v>88.472729999999999</v>
      </c>
      <c r="T28" s="209">
        <v>88.890911000000003</v>
      </c>
      <c r="U28" s="209">
        <v>89.309093000000004</v>
      </c>
      <c r="V28" s="209">
        <v>89.727275000000006</v>
      </c>
      <c r="W28" s="209">
        <v>90.145455999999996</v>
      </c>
      <c r="X28" s="209">
        <v>90.563637999999997</v>
      </c>
      <c r="Y28" s="209">
        <v>90.981819999999999</v>
      </c>
      <c r="Z28" s="73">
        <v>91.389460644773806</v>
      </c>
      <c r="AA28" s="209">
        <v>91.870001000000002</v>
      </c>
      <c r="AB28" s="209">
        <v>92.340001000000001</v>
      </c>
      <c r="AC28" s="209">
        <v>92.810001</v>
      </c>
      <c r="AD28" s="209">
        <v>93.28</v>
      </c>
      <c r="AE28" s="209">
        <v>93.75</v>
      </c>
      <c r="AF28" s="209">
        <v>94.22</v>
      </c>
      <c r="AG28" s="209">
        <v>94.689999</v>
      </c>
      <c r="AH28" s="209">
        <v>95.159998999999999</v>
      </c>
      <c r="AI28" s="209">
        <v>95.629998999999998</v>
      </c>
      <c r="AJ28" s="73">
        <v>96.143340204510608</v>
      </c>
      <c r="AK28" s="209">
        <v>96.099997999999999</v>
      </c>
      <c r="AL28" s="209">
        <v>96.099997999999999</v>
      </c>
      <c r="AM28" s="209">
        <v>96.099997999999999</v>
      </c>
      <c r="AN28" s="209">
        <v>96.099997999999999</v>
      </c>
      <c r="AO28" s="209">
        <v>96.099997999999999</v>
      </c>
      <c r="AP28" s="209">
        <v>96.099997999999999</v>
      </c>
      <c r="AQ28" s="209">
        <v>96.099997999999999</v>
      </c>
      <c r="AR28" s="209">
        <v>96.099997999999999</v>
      </c>
      <c r="AS28" s="73">
        <v>96.086712122760659</v>
      </c>
      <c r="AT28" s="209">
        <v>96.099997999999999</v>
      </c>
      <c r="AU28" s="209">
        <v>96.099997999999999</v>
      </c>
      <c r="AV28" s="209">
        <v>96.099997999999999</v>
      </c>
      <c r="AW28" s="209">
        <v>96.099997999999999</v>
      </c>
      <c r="AX28" s="209">
        <v>96.099997999999999</v>
      </c>
      <c r="AZ28" s="73"/>
      <c r="BA28" s="73"/>
      <c r="BB28" s="73"/>
      <c r="BC28" s="73"/>
    </row>
    <row r="29" spans="1:55">
      <c r="A29" s="3" t="s">
        <v>80</v>
      </c>
      <c r="B29" s="3" t="s">
        <v>747</v>
      </c>
      <c r="C29" s="3">
        <v>21</v>
      </c>
      <c r="D29" s="3" t="s">
        <v>759</v>
      </c>
      <c r="E29" s="73">
        <v>77.715171922608491</v>
      </c>
      <c r="F29" s="209">
        <v>78.129997000000003</v>
      </c>
      <c r="G29" s="209">
        <v>78.559997999999993</v>
      </c>
      <c r="H29" s="209">
        <v>78.989998</v>
      </c>
      <c r="I29" s="209">
        <v>79.419998000000007</v>
      </c>
      <c r="J29" s="209">
        <v>79.849997999999999</v>
      </c>
      <c r="K29" s="209">
        <v>80.279999000000004</v>
      </c>
      <c r="L29" s="209">
        <v>80.709998999999996</v>
      </c>
      <c r="M29" s="209">
        <v>81.139999000000003</v>
      </c>
      <c r="N29" s="209">
        <v>81.569999999999993</v>
      </c>
      <c r="O29" s="73">
        <v>82.042273800610488</v>
      </c>
      <c r="P29" s="209">
        <v>82.436363999999998</v>
      </c>
      <c r="Q29" s="209">
        <v>82.872727999999995</v>
      </c>
      <c r="R29" s="209">
        <v>83.309092000000007</v>
      </c>
      <c r="S29" s="209">
        <v>83.745456000000004</v>
      </c>
      <c r="T29" s="209">
        <v>84.181820000000002</v>
      </c>
      <c r="U29" s="209">
        <v>84.618183000000002</v>
      </c>
      <c r="V29" s="209">
        <v>85.054546999999999</v>
      </c>
      <c r="W29" s="209">
        <v>85.490910999999997</v>
      </c>
      <c r="X29" s="209">
        <v>85.927274999999995</v>
      </c>
      <c r="Y29" s="209">
        <v>86.363639000000006</v>
      </c>
      <c r="Z29" s="73">
        <v>86.809316107434839</v>
      </c>
      <c r="AA29" s="209">
        <v>87.040002000000001</v>
      </c>
      <c r="AB29" s="209">
        <v>87.280001999999996</v>
      </c>
      <c r="AC29" s="209">
        <v>87.520000999999993</v>
      </c>
      <c r="AD29" s="209">
        <v>87.760001000000003</v>
      </c>
      <c r="AE29" s="209">
        <v>88</v>
      </c>
      <c r="AF29" s="209">
        <v>88.239998999999997</v>
      </c>
      <c r="AG29" s="209">
        <v>88.479999000000007</v>
      </c>
      <c r="AH29" s="209">
        <v>88.719998000000004</v>
      </c>
      <c r="AI29" s="209">
        <v>88.959997999999999</v>
      </c>
      <c r="AJ29" s="73">
        <v>89.158899870396951</v>
      </c>
      <c r="AK29" s="209">
        <v>89.388885999999999</v>
      </c>
      <c r="AL29" s="209">
        <v>89.577776</v>
      </c>
      <c r="AM29" s="209">
        <v>89.766665000000003</v>
      </c>
      <c r="AN29" s="209">
        <v>89.955555000000004</v>
      </c>
      <c r="AO29" s="209">
        <v>90.144443999999993</v>
      </c>
      <c r="AP29" s="209">
        <v>90.333332999999996</v>
      </c>
      <c r="AQ29" s="209">
        <v>90.522222999999997</v>
      </c>
      <c r="AR29" s="209">
        <v>90.711112</v>
      </c>
      <c r="AS29" s="73">
        <v>90.850254669142984</v>
      </c>
      <c r="AT29" s="209">
        <v>91.080001999999993</v>
      </c>
      <c r="AU29" s="209">
        <v>91.260002</v>
      </c>
      <c r="AV29" s="209">
        <v>91.440002000000007</v>
      </c>
      <c r="AW29" s="209">
        <v>91.620002999999997</v>
      </c>
      <c r="AX29" s="209">
        <v>91.800003000000004</v>
      </c>
      <c r="AZ29" s="73"/>
      <c r="BA29" s="73"/>
      <c r="BB29" s="73"/>
      <c r="BC29" s="73"/>
    </row>
    <row r="30" spans="1:55">
      <c r="A30" s="3" t="s">
        <v>721</v>
      </c>
      <c r="B30" s="3" t="s">
        <v>722</v>
      </c>
      <c r="C30" s="3">
        <v>22</v>
      </c>
      <c r="D30" s="3" t="s">
        <v>664</v>
      </c>
      <c r="E30" s="73">
        <v>43.033876375350964</v>
      </c>
      <c r="F30" s="209">
        <v>43.89</v>
      </c>
      <c r="G30" s="209">
        <v>44.78</v>
      </c>
      <c r="H30" s="209">
        <v>45.67</v>
      </c>
      <c r="I30" s="209">
        <v>46.560001</v>
      </c>
      <c r="J30" s="209">
        <v>47.450001</v>
      </c>
      <c r="K30" s="209">
        <v>48.340001000000001</v>
      </c>
      <c r="L30" s="209">
        <v>49.230001000000001</v>
      </c>
      <c r="M30" s="209">
        <v>50.120001000000002</v>
      </c>
      <c r="N30" s="209">
        <v>51.010001000000003</v>
      </c>
      <c r="O30" s="73">
        <v>51.930511665434011</v>
      </c>
      <c r="P30" s="209">
        <v>52.700001</v>
      </c>
      <c r="Q30" s="209">
        <v>53.500000999999997</v>
      </c>
      <c r="R30" s="209">
        <v>54.300001000000002</v>
      </c>
      <c r="S30" s="209">
        <v>55.100000999999999</v>
      </c>
      <c r="T30" s="209">
        <v>55.900001000000003</v>
      </c>
      <c r="U30" s="209">
        <v>56.700001</v>
      </c>
      <c r="V30" s="209">
        <v>57.500000999999997</v>
      </c>
      <c r="W30" s="209">
        <v>58.300001000000002</v>
      </c>
      <c r="X30" s="209">
        <v>59.100000999999999</v>
      </c>
      <c r="Y30" s="209">
        <v>59.900001000000003</v>
      </c>
      <c r="Z30" s="73">
        <v>60.688583724709368</v>
      </c>
      <c r="AA30" s="209">
        <v>61.240000999999999</v>
      </c>
      <c r="AB30" s="209">
        <v>61.78</v>
      </c>
      <c r="AC30" s="209">
        <v>62.32</v>
      </c>
      <c r="AD30" s="209">
        <v>62.86</v>
      </c>
      <c r="AE30" s="209">
        <v>63.4</v>
      </c>
      <c r="AF30" s="209">
        <v>63.939999</v>
      </c>
      <c r="AG30" s="209">
        <v>64.479999000000007</v>
      </c>
      <c r="AH30" s="209">
        <v>65.019998999999999</v>
      </c>
      <c r="AI30" s="209">
        <v>65.559999000000005</v>
      </c>
      <c r="AJ30" s="73">
        <v>66.082463077579035</v>
      </c>
      <c r="AK30" s="209">
        <v>66.388886999999997</v>
      </c>
      <c r="AL30" s="209">
        <v>66.677775999999994</v>
      </c>
      <c r="AM30" s="209">
        <v>66.966665000000006</v>
      </c>
      <c r="AN30" s="209">
        <v>67.255553000000006</v>
      </c>
      <c r="AO30" s="209">
        <v>67.544442000000004</v>
      </c>
      <c r="AP30" s="209">
        <v>67.833331000000001</v>
      </c>
      <c r="AQ30" s="209">
        <v>68.122219999999999</v>
      </c>
      <c r="AR30" s="209">
        <v>68.411107999999999</v>
      </c>
      <c r="AS30" s="73">
        <v>68.698498637309129</v>
      </c>
      <c r="AT30" s="209">
        <v>68.999996999999993</v>
      </c>
      <c r="AU30" s="209">
        <v>69.299997000000005</v>
      </c>
      <c r="AV30" s="209">
        <v>69.599997000000002</v>
      </c>
      <c r="AW30" s="209">
        <v>69.899996999999999</v>
      </c>
      <c r="AX30" s="209">
        <v>70.199996999999996</v>
      </c>
      <c r="AZ30" s="73"/>
      <c r="BA30" s="73"/>
      <c r="BB30" s="73"/>
      <c r="BC30" s="73"/>
    </row>
    <row r="31" spans="1:55">
      <c r="A31" s="3" t="s">
        <v>723</v>
      </c>
      <c r="B31" s="3" t="s">
        <v>724</v>
      </c>
      <c r="C31" s="3">
        <v>23</v>
      </c>
      <c r="D31" s="3" t="s">
        <v>541</v>
      </c>
      <c r="E31" s="73">
        <v>73.840848128752071</v>
      </c>
      <c r="F31" s="209">
        <v>75.280002999999994</v>
      </c>
      <c r="G31" s="209">
        <v>76.760002</v>
      </c>
      <c r="H31" s="209">
        <v>78.240002000000004</v>
      </c>
      <c r="I31" s="209">
        <v>79.720000999999996</v>
      </c>
      <c r="J31" s="209">
        <v>81.200001</v>
      </c>
      <c r="K31" s="209">
        <v>82.68</v>
      </c>
      <c r="L31" s="209">
        <v>84.16</v>
      </c>
      <c r="M31" s="209">
        <v>85.639999000000003</v>
      </c>
      <c r="N31" s="209">
        <v>87.119999000000007</v>
      </c>
      <c r="O31" s="73">
        <v>88.602968053220266</v>
      </c>
      <c r="P31" s="209">
        <v>89.363635000000002</v>
      </c>
      <c r="Q31" s="209">
        <v>90.127270999999993</v>
      </c>
      <c r="R31" s="209">
        <v>90.890907999999996</v>
      </c>
      <c r="S31" s="209">
        <v>91.654544000000001</v>
      </c>
      <c r="T31" s="209">
        <v>92.418181000000004</v>
      </c>
      <c r="U31" s="209">
        <v>93.181816999999995</v>
      </c>
      <c r="V31" s="209">
        <v>93.945453999999998</v>
      </c>
      <c r="W31" s="209">
        <v>94.709090000000003</v>
      </c>
      <c r="X31" s="209">
        <v>95.472727000000006</v>
      </c>
      <c r="Y31" s="209">
        <v>96.236362999999997</v>
      </c>
      <c r="Z31" s="73">
        <v>97.021724401389676</v>
      </c>
      <c r="AA31" s="209">
        <v>97.01</v>
      </c>
      <c r="AB31" s="209">
        <v>97.02</v>
      </c>
      <c r="AC31" s="209">
        <v>97.03</v>
      </c>
      <c r="AD31" s="209">
        <v>97.039998999999995</v>
      </c>
      <c r="AE31" s="209">
        <v>97.049999</v>
      </c>
      <c r="AF31" s="209">
        <v>97.059999000000005</v>
      </c>
      <c r="AG31" s="209">
        <v>97.069998999999996</v>
      </c>
      <c r="AH31" s="209">
        <v>97.079999000000001</v>
      </c>
      <c r="AI31" s="209">
        <v>97.089999000000006</v>
      </c>
      <c r="AJ31" s="73">
        <v>97.063682861919887</v>
      </c>
      <c r="AK31" s="209">
        <v>97.288888</v>
      </c>
      <c r="AL31" s="209">
        <v>97.477777000000003</v>
      </c>
      <c r="AM31" s="209">
        <v>97.666667000000004</v>
      </c>
      <c r="AN31" s="209">
        <v>97.855556000000007</v>
      </c>
      <c r="AO31" s="209">
        <v>98.044444999999996</v>
      </c>
      <c r="AP31" s="209">
        <v>98.233334999999997</v>
      </c>
      <c r="AQ31" s="209">
        <v>98.422224</v>
      </c>
      <c r="AR31" s="209">
        <v>98.611114000000001</v>
      </c>
      <c r="AS31" s="73">
        <v>98.811469229133195</v>
      </c>
      <c r="AT31" s="209">
        <v>99.000003000000007</v>
      </c>
      <c r="AU31" s="209">
        <v>99.200002999999995</v>
      </c>
      <c r="AV31" s="209">
        <v>99.400002999999998</v>
      </c>
      <c r="AW31" s="209">
        <v>99.600003000000001</v>
      </c>
      <c r="AX31" s="209">
        <v>99.800003000000004</v>
      </c>
      <c r="AZ31" s="73"/>
      <c r="BA31" s="73"/>
      <c r="BB31" s="73"/>
      <c r="BC31" s="73"/>
    </row>
    <row r="32" spans="1:55">
      <c r="A32" s="3" t="s">
        <v>725</v>
      </c>
      <c r="B32" s="3" t="s">
        <v>726</v>
      </c>
      <c r="C32" s="3">
        <v>24</v>
      </c>
      <c r="D32" s="3" t="s">
        <v>664</v>
      </c>
      <c r="E32" s="73">
        <v>64.688196020168107</v>
      </c>
      <c r="F32" s="209">
        <v>65.319997000000001</v>
      </c>
      <c r="G32" s="209">
        <v>65.939998000000003</v>
      </c>
      <c r="H32" s="209">
        <v>66.559997999999993</v>
      </c>
      <c r="I32" s="209">
        <v>67.179998999999995</v>
      </c>
      <c r="J32" s="209">
        <v>67.799999</v>
      </c>
      <c r="K32" s="209">
        <v>68.42</v>
      </c>
      <c r="L32" s="209">
        <v>69.040000000000006</v>
      </c>
      <c r="M32" s="209">
        <v>69.660000999999994</v>
      </c>
      <c r="N32" s="209">
        <v>70.280000999999999</v>
      </c>
      <c r="O32" s="73">
        <v>70.882687078152074</v>
      </c>
      <c r="P32" s="209">
        <v>71.418182999999999</v>
      </c>
      <c r="Q32" s="209">
        <v>71.936364999999995</v>
      </c>
      <c r="R32" s="209">
        <v>72.454545999999993</v>
      </c>
      <c r="S32" s="209">
        <v>72.972728000000004</v>
      </c>
      <c r="T32" s="209">
        <v>73.490909000000002</v>
      </c>
      <c r="U32" s="209">
        <v>74.009090999999998</v>
      </c>
      <c r="V32" s="209">
        <v>74.527271999999996</v>
      </c>
      <c r="W32" s="209">
        <v>75.045454000000007</v>
      </c>
      <c r="X32" s="209">
        <v>75.563635000000005</v>
      </c>
      <c r="Y32" s="209">
        <v>76.081817000000001</v>
      </c>
      <c r="Z32" s="73">
        <v>76.631132864316328</v>
      </c>
      <c r="AA32" s="209">
        <v>76.889999000000003</v>
      </c>
      <c r="AB32" s="209">
        <v>77.179998999999995</v>
      </c>
      <c r="AC32" s="209">
        <v>77.469999000000001</v>
      </c>
      <c r="AD32" s="209">
        <v>77.759998999999993</v>
      </c>
      <c r="AE32" s="209">
        <v>78.049999</v>
      </c>
      <c r="AF32" s="209">
        <v>78.339999000000006</v>
      </c>
      <c r="AG32" s="209">
        <v>78.63</v>
      </c>
      <c r="AH32" s="209">
        <v>78.92</v>
      </c>
      <c r="AI32" s="209">
        <v>79.209999999999994</v>
      </c>
      <c r="AJ32" s="73">
        <v>79.463259129652613</v>
      </c>
      <c r="AK32" s="209">
        <v>79.644445000000005</v>
      </c>
      <c r="AL32" s="209">
        <v>79.788889999999995</v>
      </c>
      <c r="AM32" s="209">
        <v>79.933334000000002</v>
      </c>
      <c r="AN32" s="209">
        <v>80.077779000000007</v>
      </c>
      <c r="AO32" s="209">
        <v>80.222223999999997</v>
      </c>
      <c r="AP32" s="209">
        <v>80.366669000000002</v>
      </c>
      <c r="AQ32" s="209">
        <v>80.511112999999995</v>
      </c>
      <c r="AR32" s="209">
        <v>80.655557999999999</v>
      </c>
      <c r="AS32" s="73">
        <v>80.812153610314098</v>
      </c>
      <c r="AT32" s="209">
        <v>80.960002000000003</v>
      </c>
      <c r="AU32" s="209">
        <v>81.120001000000002</v>
      </c>
      <c r="AV32" s="209">
        <v>81.28</v>
      </c>
      <c r="AW32" s="209">
        <v>81.439999</v>
      </c>
      <c r="AX32" s="209">
        <v>81.599997999999999</v>
      </c>
      <c r="AZ32" s="73"/>
      <c r="BA32" s="73"/>
      <c r="BB32" s="73"/>
      <c r="BC32" s="73"/>
    </row>
    <row r="33" spans="1:55">
      <c r="A33" s="3"/>
      <c r="B33" s="3"/>
      <c r="C33" s="3"/>
      <c r="D33" s="3"/>
      <c r="E33" s="73"/>
      <c r="F33" s="204"/>
      <c r="G33" s="204"/>
      <c r="H33" s="204"/>
      <c r="I33" s="204"/>
      <c r="J33" s="204"/>
      <c r="K33" s="204"/>
      <c r="L33" s="204"/>
      <c r="M33" s="204"/>
      <c r="N33" s="204"/>
      <c r="O33" s="73"/>
      <c r="P33" s="204"/>
      <c r="Q33" s="204"/>
      <c r="R33" s="204"/>
      <c r="S33" s="204"/>
      <c r="T33" s="204"/>
      <c r="U33" s="204"/>
      <c r="V33" s="204"/>
      <c r="W33" s="204"/>
      <c r="X33" s="204"/>
      <c r="Y33" s="204"/>
      <c r="Z33" s="73"/>
      <c r="AA33" s="204"/>
      <c r="AB33" s="204"/>
      <c r="AC33" s="204"/>
      <c r="AD33" s="204"/>
      <c r="AE33" s="204"/>
      <c r="AF33" s="204"/>
      <c r="AG33" s="204"/>
      <c r="AH33" s="204"/>
      <c r="AI33" s="204"/>
      <c r="AJ33" s="73"/>
      <c r="AK33" s="204"/>
      <c r="AL33" s="204"/>
      <c r="AM33" s="204"/>
      <c r="AN33" s="204"/>
      <c r="AO33" s="204"/>
      <c r="AP33" s="204"/>
      <c r="AQ33" s="204"/>
      <c r="AR33" s="204"/>
      <c r="AS33" s="73"/>
      <c r="AT33" s="204"/>
      <c r="AU33" s="204"/>
      <c r="AV33" s="204"/>
      <c r="AW33" s="204"/>
      <c r="AX33" s="204"/>
      <c r="AZ33" s="73"/>
      <c r="BA33" s="73"/>
      <c r="BB33" s="73"/>
      <c r="BC33" s="73"/>
    </row>
    <row r="34" spans="1:55">
      <c r="A34" s="3" t="s">
        <v>727</v>
      </c>
      <c r="B34" s="3"/>
      <c r="C34" s="3"/>
      <c r="D34" s="3"/>
      <c r="E34" s="73">
        <v>78.983221263802932</v>
      </c>
      <c r="F34" s="204"/>
      <c r="G34" s="204"/>
      <c r="H34" s="204"/>
      <c r="I34" s="204"/>
      <c r="J34" s="204"/>
      <c r="K34" s="204"/>
      <c r="L34" s="204"/>
      <c r="M34" s="204"/>
      <c r="N34" s="204"/>
      <c r="O34" s="73">
        <v>82.987518787942193</v>
      </c>
      <c r="P34" s="204"/>
      <c r="Q34" s="204"/>
      <c r="R34" s="204"/>
      <c r="S34" s="204"/>
      <c r="T34" s="204"/>
      <c r="U34" s="204"/>
      <c r="V34" s="204"/>
      <c r="W34" s="204"/>
      <c r="X34" s="204"/>
      <c r="Y34" s="204"/>
      <c r="Z34" s="73">
        <v>87.185803032224399</v>
      </c>
      <c r="AA34" s="204"/>
      <c r="AB34" s="204"/>
      <c r="AC34" s="204"/>
      <c r="AD34" s="204"/>
      <c r="AE34" s="204"/>
      <c r="AF34" s="204"/>
      <c r="AG34" s="204"/>
      <c r="AH34" s="204"/>
      <c r="AI34" s="204"/>
      <c r="AJ34" s="73">
        <v>89.442453736376564</v>
      </c>
      <c r="AK34" s="204"/>
      <c r="AL34" s="204"/>
      <c r="AM34" s="204"/>
      <c r="AN34" s="204"/>
      <c r="AO34" s="204"/>
      <c r="AP34" s="204"/>
      <c r="AQ34" s="204"/>
      <c r="AR34" s="204"/>
      <c r="AS34" s="73">
        <v>91.038541274273683</v>
      </c>
      <c r="AT34" s="204"/>
      <c r="AU34" s="204"/>
      <c r="AV34" s="204"/>
      <c r="AW34" s="204"/>
      <c r="AX34" s="204"/>
      <c r="AZ34" s="73"/>
      <c r="BA34" s="73"/>
      <c r="BB34" s="73"/>
      <c r="BC34" s="73"/>
    </row>
    <row r="35" spans="1:55" s="207" customFormat="1" ht="242">
      <c r="A35" s="208" t="s">
        <v>728</v>
      </c>
      <c r="E35" s="7" t="s">
        <v>3227</v>
      </c>
      <c r="F35" s="1" t="s">
        <v>3221</v>
      </c>
      <c r="G35" s="1" t="s">
        <v>3221</v>
      </c>
      <c r="H35" s="1" t="s">
        <v>3221</v>
      </c>
      <c r="I35" s="1" t="s">
        <v>3221</v>
      </c>
      <c r="J35" s="1" t="s">
        <v>3221</v>
      </c>
      <c r="K35" s="1" t="s">
        <v>3221</v>
      </c>
      <c r="L35" s="1" t="s">
        <v>3221</v>
      </c>
      <c r="M35" s="1" t="s">
        <v>3221</v>
      </c>
      <c r="N35" s="1" t="s">
        <v>3221</v>
      </c>
      <c r="O35" s="7" t="s">
        <v>3228</v>
      </c>
      <c r="P35" s="1" t="s">
        <v>3222</v>
      </c>
      <c r="Q35" s="1" t="s">
        <v>3222</v>
      </c>
      <c r="R35" s="1" t="s">
        <v>3222</v>
      </c>
      <c r="S35" s="1" t="s">
        <v>3222</v>
      </c>
      <c r="T35" s="1" t="s">
        <v>3222</v>
      </c>
      <c r="U35" s="1" t="s">
        <v>3222</v>
      </c>
      <c r="V35" s="1" t="s">
        <v>3222</v>
      </c>
      <c r="W35" s="1" t="s">
        <v>3222</v>
      </c>
      <c r="X35" s="1" t="s">
        <v>3222</v>
      </c>
      <c r="Y35" s="1" t="s">
        <v>3222</v>
      </c>
      <c r="Z35" s="7" t="s">
        <v>3229</v>
      </c>
      <c r="AA35" s="1" t="s">
        <v>3223</v>
      </c>
      <c r="AB35" s="1" t="s">
        <v>3223</v>
      </c>
      <c r="AC35" s="1" t="s">
        <v>3223</v>
      </c>
      <c r="AD35" s="1" t="s">
        <v>3223</v>
      </c>
      <c r="AE35" s="1" t="s">
        <v>3223</v>
      </c>
      <c r="AF35" s="1" t="s">
        <v>3223</v>
      </c>
      <c r="AG35" s="1" t="s">
        <v>3223</v>
      </c>
      <c r="AH35" s="1" t="s">
        <v>3223</v>
      </c>
      <c r="AI35" s="1" t="s">
        <v>3223</v>
      </c>
      <c r="AJ35" s="7" t="s">
        <v>3230</v>
      </c>
      <c r="AK35" s="1" t="s">
        <v>3224</v>
      </c>
      <c r="AL35" s="1" t="s">
        <v>3224</v>
      </c>
      <c r="AM35" s="1" t="s">
        <v>3224</v>
      </c>
      <c r="AN35" s="1" t="s">
        <v>3224</v>
      </c>
      <c r="AO35" s="1" t="s">
        <v>3224</v>
      </c>
      <c r="AP35" s="1" t="s">
        <v>3224</v>
      </c>
      <c r="AQ35" s="1" t="s">
        <v>3224</v>
      </c>
      <c r="AR35" s="1" t="s">
        <v>3224</v>
      </c>
      <c r="AS35" s="7" t="s">
        <v>3231</v>
      </c>
      <c r="AT35" s="1" t="s">
        <v>3226</v>
      </c>
      <c r="AU35" s="1" t="s">
        <v>3226</v>
      </c>
      <c r="AV35" s="1" t="s">
        <v>3226</v>
      </c>
      <c r="AW35" s="1" t="s">
        <v>3226</v>
      </c>
      <c r="AX35" s="1" t="s">
        <v>3225</v>
      </c>
    </row>
    <row r="36" spans="1:55">
      <c r="E36" s="202"/>
    </row>
    <row r="37" spans="1:55">
      <c r="E37" s="203"/>
    </row>
    <row r="38" spans="1:55">
      <c r="E38" s="203"/>
    </row>
    <row r="39" spans="1:55">
      <c r="E39" s="203"/>
    </row>
    <row r="40" spans="1:55">
      <c r="E40" s="203"/>
    </row>
    <row r="41" spans="1:55">
      <c r="E41" s="203"/>
    </row>
    <row r="42" spans="1:55">
      <c r="E42" s="203"/>
    </row>
    <row r="43" spans="1:55">
      <c r="E43" s="203"/>
    </row>
    <row r="44" spans="1:55">
      <c r="E44" s="203"/>
    </row>
    <row r="45" spans="1:55">
      <c r="E45" s="203"/>
    </row>
    <row r="46" spans="1:55">
      <c r="E46" s="203"/>
    </row>
    <row r="47" spans="1:55">
      <c r="E47" s="203"/>
    </row>
    <row r="48" spans="1:55">
      <c r="E48" s="203"/>
    </row>
    <row r="49" spans="5:5" customFormat="1">
      <c r="E49" s="203"/>
    </row>
    <row r="50" spans="5:5" customFormat="1">
      <c r="E50" s="203"/>
    </row>
    <row r="51" spans="5:5" customFormat="1">
      <c r="E51" s="203"/>
    </row>
    <row r="52" spans="5:5" customFormat="1">
      <c r="E52" s="203"/>
    </row>
    <row r="53" spans="5:5" customFormat="1">
      <c r="E53" s="203"/>
    </row>
    <row r="54" spans="5:5" customFormat="1">
      <c r="E54" s="203"/>
    </row>
    <row r="55" spans="5:5" customFormat="1">
      <c r="E55" s="203"/>
    </row>
    <row r="56" spans="5:5" customFormat="1">
      <c r="E56" s="203"/>
    </row>
    <row r="57" spans="5:5" customFormat="1">
      <c r="E57" s="203"/>
    </row>
    <row r="58" spans="5:5" customFormat="1">
      <c r="E58" s="203"/>
    </row>
    <row r="59" spans="5:5" customFormat="1">
      <c r="E59" s="203"/>
    </row>
    <row r="60" spans="5:5" customFormat="1">
      <c r="E60" s="203"/>
    </row>
    <row r="61" spans="5:5" customFormat="1">
      <c r="E61" s="203"/>
    </row>
    <row r="62" spans="5:5" customFormat="1">
      <c r="E62" s="203"/>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workbookViewId="0">
      <pane xSplit="2960" topLeftCell="AG1"/>
      <selection pane="topRight" activeCell="AJ9" sqref="AJ9"/>
    </sheetView>
  </sheetViews>
  <sheetFormatPr baseColWidth="10" defaultRowHeight="13" x14ac:dyDescent="0"/>
  <cols>
    <col min="1" max="1" width="15.5703125" customWidth="1"/>
    <col min="2" max="2" width="3.7109375" bestFit="1" customWidth="1"/>
    <col min="3" max="3" width="2.42578125" bestFit="1" customWidth="1"/>
    <col min="4" max="4" width="4.85546875" bestFit="1" customWidth="1"/>
  </cols>
  <sheetData>
    <row r="1" spans="1:50">
      <c r="A1" s="137" t="s">
        <v>2404</v>
      </c>
      <c r="B1" s="3"/>
      <c r="C1" s="3"/>
      <c r="D1" s="3"/>
      <c r="F1" s="6"/>
      <c r="G1" s="6"/>
      <c r="H1" s="6"/>
      <c r="I1" s="6"/>
      <c r="J1" s="6"/>
      <c r="K1" s="6"/>
      <c r="L1" s="6"/>
      <c r="M1" s="6"/>
      <c r="N1" s="6"/>
    </row>
    <row r="2" spans="1:50">
      <c r="A2" s="1" t="s">
        <v>614</v>
      </c>
      <c r="B2" s="1"/>
      <c r="C2" s="1"/>
      <c r="D2" s="1"/>
      <c r="E2" s="2" t="s">
        <v>610</v>
      </c>
      <c r="F2" s="2" t="s">
        <v>610</v>
      </c>
      <c r="G2" s="2" t="s">
        <v>610</v>
      </c>
      <c r="H2" s="2" t="s">
        <v>610</v>
      </c>
      <c r="I2" s="2" t="s">
        <v>610</v>
      </c>
      <c r="J2" s="2" t="s">
        <v>610</v>
      </c>
      <c r="K2" s="2" t="s">
        <v>610</v>
      </c>
      <c r="L2" s="2" t="s">
        <v>610</v>
      </c>
      <c r="M2" s="2" t="s">
        <v>610</v>
      </c>
      <c r="N2" s="2" t="s">
        <v>610</v>
      </c>
      <c r="O2" s="2" t="s">
        <v>610</v>
      </c>
      <c r="P2" s="2" t="s">
        <v>610</v>
      </c>
      <c r="Q2" s="2" t="s">
        <v>610</v>
      </c>
      <c r="R2" s="2" t="s">
        <v>610</v>
      </c>
      <c r="S2" s="2" t="s">
        <v>610</v>
      </c>
      <c r="T2" s="2" t="s">
        <v>610</v>
      </c>
      <c r="U2" s="2" t="s">
        <v>610</v>
      </c>
      <c r="V2" s="2" t="s">
        <v>610</v>
      </c>
      <c r="W2" s="2" t="s">
        <v>610</v>
      </c>
      <c r="X2" s="2" t="s">
        <v>610</v>
      </c>
      <c r="Y2" s="2" t="s">
        <v>610</v>
      </c>
      <c r="Z2" s="2" t="s">
        <v>610</v>
      </c>
      <c r="AA2" s="2" t="s">
        <v>610</v>
      </c>
      <c r="AB2" s="2" t="s">
        <v>610</v>
      </c>
      <c r="AC2" s="2" t="s">
        <v>610</v>
      </c>
      <c r="AD2" s="2" t="s">
        <v>610</v>
      </c>
      <c r="AE2" s="2" t="s">
        <v>610</v>
      </c>
      <c r="AF2" s="2" t="s">
        <v>610</v>
      </c>
      <c r="AG2" s="2" t="s">
        <v>610</v>
      </c>
      <c r="AH2" s="2" t="s">
        <v>610</v>
      </c>
      <c r="AI2" s="2" t="s">
        <v>610</v>
      </c>
      <c r="AJ2" s="2" t="s">
        <v>610</v>
      </c>
      <c r="AK2" s="2" t="s">
        <v>610</v>
      </c>
      <c r="AL2" s="2" t="s">
        <v>610</v>
      </c>
      <c r="AM2" s="2" t="s">
        <v>610</v>
      </c>
      <c r="AN2" s="2" t="s">
        <v>610</v>
      </c>
    </row>
    <row r="3" spans="1:50">
      <c r="A3" s="1" t="s">
        <v>518</v>
      </c>
      <c r="B3" s="1"/>
      <c r="C3" s="1"/>
      <c r="D3" s="1"/>
      <c r="E3" s="2" t="s">
        <v>3249</v>
      </c>
      <c r="F3" s="2" t="s">
        <v>3249</v>
      </c>
      <c r="G3" s="2" t="s">
        <v>3249</v>
      </c>
      <c r="H3" s="2" t="s">
        <v>3249</v>
      </c>
      <c r="I3" s="2" t="s">
        <v>3249</v>
      </c>
      <c r="J3" s="2" t="s">
        <v>3249</v>
      </c>
      <c r="K3" s="2" t="s">
        <v>3249</v>
      </c>
      <c r="L3" s="2" t="s">
        <v>3249</v>
      </c>
      <c r="M3" s="2" t="s">
        <v>3249</v>
      </c>
      <c r="N3" s="2" t="s">
        <v>3249</v>
      </c>
      <c r="O3" s="2" t="s">
        <v>3249</v>
      </c>
      <c r="P3" s="2" t="s">
        <v>3249</v>
      </c>
      <c r="Q3" s="2" t="s">
        <v>3249</v>
      </c>
      <c r="R3" s="2" t="s">
        <v>3249</v>
      </c>
      <c r="S3" s="2" t="s">
        <v>3249</v>
      </c>
      <c r="T3" s="2" t="s">
        <v>3249</v>
      </c>
      <c r="U3" s="2" t="s">
        <v>3249</v>
      </c>
      <c r="V3" s="2" t="s">
        <v>3249</v>
      </c>
      <c r="W3" s="2" t="s">
        <v>3249</v>
      </c>
      <c r="X3" s="2" t="s">
        <v>3249</v>
      </c>
      <c r="Y3" s="2" t="s">
        <v>3249</v>
      </c>
      <c r="Z3" s="2" t="s">
        <v>3249</v>
      </c>
      <c r="AA3" s="2" t="s">
        <v>3249</v>
      </c>
      <c r="AB3" s="2" t="s">
        <v>3249</v>
      </c>
      <c r="AC3" s="2" t="s">
        <v>3249</v>
      </c>
      <c r="AD3" s="2" t="s">
        <v>3249</v>
      </c>
      <c r="AE3" s="2" t="s">
        <v>3249</v>
      </c>
      <c r="AF3" s="2" t="s">
        <v>3249</v>
      </c>
      <c r="AG3" s="2" t="s">
        <v>3249</v>
      </c>
      <c r="AH3" s="2" t="s">
        <v>3249</v>
      </c>
      <c r="AI3" s="2" t="s">
        <v>3249</v>
      </c>
      <c r="AJ3" s="2" t="s">
        <v>3249</v>
      </c>
      <c r="AK3" s="2" t="s">
        <v>3249</v>
      </c>
      <c r="AL3" s="2" t="s">
        <v>3249</v>
      </c>
      <c r="AM3" s="2" t="s">
        <v>3249</v>
      </c>
      <c r="AN3" s="2" t="s">
        <v>3249</v>
      </c>
    </row>
    <row r="4" spans="1:50">
      <c r="A4" s="1" t="s">
        <v>736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50">
      <c r="A5" s="1" t="s">
        <v>737</v>
      </c>
      <c r="B5" s="1"/>
      <c r="C5" s="1"/>
      <c r="D5" s="1"/>
      <c r="E5" s="1" t="s">
        <v>3250</v>
      </c>
      <c r="F5" s="1" t="s">
        <v>3250</v>
      </c>
      <c r="G5" s="1" t="s">
        <v>3250</v>
      </c>
      <c r="H5" s="1" t="s">
        <v>3250</v>
      </c>
      <c r="I5" s="1" t="s">
        <v>3250</v>
      </c>
      <c r="J5" s="1" t="s">
        <v>3250</v>
      </c>
      <c r="K5" s="1" t="s">
        <v>3250</v>
      </c>
      <c r="L5" s="1" t="s">
        <v>3250</v>
      </c>
      <c r="M5" s="1" t="s">
        <v>3250</v>
      </c>
      <c r="N5" s="1" t="s">
        <v>3250</v>
      </c>
      <c r="O5" s="1" t="s">
        <v>3250</v>
      </c>
      <c r="P5" s="1" t="s">
        <v>3250</v>
      </c>
      <c r="Q5" s="1" t="s">
        <v>3250</v>
      </c>
      <c r="R5" s="1" t="s">
        <v>3250</v>
      </c>
      <c r="S5" s="1" t="s">
        <v>3250</v>
      </c>
      <c r="T5" s="1" t="s">
        <v>3250</v>
      </c>
      <c r="U5" s="1" t="s">
        <v>3250</v>
      </c>
      <c r="V5" s="1" t="s">
        <v>3250</v>
      </c>
      <c r="W5" s="1" t="s">
        <v>3250</v>
      </c>
      <c r="X5" s="1" t="s">
        <v>3250</v>
      </c>
      <c r="Y5" s="1" t="s">
        <v>3250</v>
      </c>
      <c r="Z5" s="1" t="s">
        <v>3250</v>
      </c>
      <c r="AA5" s="1" t="s">
        <v>3250</v>
      </c>
      <c r="AB5" s="1" t="s">
        <v>3250</v>
      </c>
      <c r="AC5" s="1" t="s">
        <v>3250</v>
      </c>
      <c r="AD5" s="1" t="s">
        <v>3250</v>
      </c>
      <c r="AE5" s="1" t="s">
        <v>3250</v>
      </c>
      <c r="AF5" s="1" t="s">
        <v>3250</v>
      </c>
      <c r="AG5" s="1" t="s">
        <v>3250</v>
      </c>
      <c r="AH5" s="1" t="s">
        <v>3250</v>
      </c>
      <c r="AI5" s="1" t="s">
        <v>3250</v>
      </c>
      <c r="AJ5" s="1" t="s">
        <v>3250</v>
      </c>
      <c r="AK5" s="1" t="s">
        <v>3250</v>
      </c>
      <c r="AL5" s="1" t="s">
        <v>3250</v>
      </c>
      <c r="AM5" s="1" t="s">
        <v>3250</v>
      </c>
      <c r="AN5" s="1" t="s">
        <v>3250</v>
      </c>
    </row>
    <row r="6" spans="1:50">
      <c r="A6" s="42" t="s">
        <v>560</v>
      </c>
      <c r="B6" s="42"/>
      <c r="C6" s="42"/>
      <c r="D6" s="42"/>
      <c r="E6" s="205">
        <v>1980</v>
      </c>
      <c r="F6" s="205">
        <v>1981</v>
      </c>
      <c r="G6" s="205">
        <v>1982</v>
      </c>
      <c r="H6" s="205">
        <v>1983</v>
      </c>
      <c r="I6" s="205">
        <v>1984</v>
      </c>
      <c r="J6" s="205">
        <v>1985</v>
      </c>
      <c r="K6" s="205">
        <v>1986</v>
      </c>
      <c r="L6" s="205">
        <v>1987</v>
      </c>
      <c r="M6" s="205">
        <v>1988</v>
      </c>
      <c r="N6" s="205">
        <v>1989</v>
      </c>
      <c r="O6" s="205">
        <v>1990</v>
      </c>
      <c r="P6" s="205">
        <v>1991</v>
      </c>
      <c r="Q6" s="205">
        <v>1992</v>
      </c>
      <c r="R6" s="205">
        <v>1993</v>
      </c>
      <c r="S6" s="205">
        <v>1994</v>
      </c>
      <c r="T6" s="205">
        <v>1995</v>
      </c>
      <c r="U6" s="205">
        <v>1996</v>
      </c>
      <c r="V6" s="205">
        <v>1997</v>
      </c>
      <c r="W6" s="205">
        <v>1998</v>
      </c>
      <c r="X6" s="205">
        <v>1999</v>
      </c>
      <c r="Y6" s="205">
        <v>2000</v>
      </c>
      <c r="Z6" s="205">
        <v>2001</v>
      </c>
      <c r="AA6" s="205">
        <v>2002</v>
      </c>
      <c r="AB6" s="205">
        <v>2003</v>
      </c>
      <c r="AC6" s="205">
        <v>2004</v>
      </c>
      <c r="AD6" s="205">
        <v>2005</v>
      </c>
      <c r="AE6" s="205">
        <v>2006</v>
      </c>
      <c r="AF6" s="205">
        <v>2007</v>
      </c>
      <c r="AG6" s="205">
        <v>2008</v>
      </c>
      <c r="AH6" s="205">
        <v>2009</v>
      </c>
      <c r="AI6" s="205">
        <v>2010</v>
      </c>
      <c r="AJ6" s="205">
        <v>2011</v>
      </c>
      <c r="AK6" s="205">
        <v>2012</v>
      </c>
      <c r="AL6" s="205">
        <v>2013</v>
      </c>
      <c r="AM6" s="205">
        <v>2014</v>
      </c>
      <c r="AN6" s="201">
        <v>2015</v>
      </c>
    </row>
    <row r="7" spans="1:50" ht="66">
      <c r="A7" s="7" t="s">
        <v>3334</v>
      </c>
      <c r="B7" s="1"/>
      <c r="C7" s="1"/>
      <c r="D7" s="1"/>
      <c r="E7" s="2" t="s">
        <v>3251</v>
      </c>
      <c r="F7" s="2" t="s">
        <v>3255</v>
      </c>
      <c r="G7" s="2" t="s">
        <v>3256</v>
      </c>
      <c r="H7" s="2" t="s">
        <v>3257</v>
      </c>
      <c r="I7" s="2" t="s">
        <v>3258</v>
      </c>
      <c r="J7" s="2" t="s">
        <v>3259</v>
      </c>
      <c r="K7" s="2" t="s">
        <v>3260</v>
      </c>
      <c r="L7" s="2" t="s">
        <v>3261</v>
      </c>
      <c r="M7" s="2" t="s">
        <v>3262</v>
      </c>
      <c r="N7" s="2" t="s">
        <v>3263</v>
      </c>
      <c r="O7" s="2" t="s">
        <v>3264</v>
      </c>
      <c r="P7" s="2" t="s">
        <v>3252</v>
      </c>
      <c r="Q7" s="2" t="s">
        <v>3265</v>
      </c>
      <c r="R7" s="2" t="s">
        <v>3266</v>
      </c>
      <c r="S7" s="2" t="s">
        <v>3267</v>
      </c>
      <c r="T7" s="2" t="s">
        <v>3268</v>
      </c>
      <c r="U7" s="2" t="s">
        <v>3269</v>
      </c>
      <c r="V7" s="15" t="s">
        <v>3270</v>
      </c>
      <c r="W7" s="15" t="s">
        <v>3271</v>
      </c>
      <c r="X7" s="15" t="s">
        <v>3272</v>
      </c>
      <c r="Y7" s="15" t="s">
        <v>3273</v>
      </c>
      <c r="Z7" s="2" t="s">
        <v>3253</v>
      </c>
      <c r="AA7" s="15" t="s">
        <v>3274</v>
      </c>
      <c r="AB7" s="15" t="s">
        <v>3275</v>
      </c>
      <c r="AC7" s="15" t="s">
        <v>3276</v>
      </c>
      <c r="AD7" s="15" t="s">
        <v>3277</v>
      </c>
      <c r="AE7" s="15" t="s">
        <v>3278</v>
      </c>
      <c r="AF7" s="15" t="s">
        <v>3279</v>
      </c>
      <c r="AG7" s="15" t="s">
        <v>3280</v>
      </c>
      <c r="AH7" s="15" t="s">
        <v>3281</v>
      </c>
      <c r="AI7" s="1" t="s">
        <v>3254</v>
      </c>
      <c r="AJ7" s="15" t="s">
        <v>3282</v>
      </c>
      <c r="AK7" s="15" t="s">
        <v>3283</v>
      </c>
      <c r="AL7" s="15" t="s">
        <v>3284</v>
      </c>
      <c r="AM7" s="2" t="s">
        <v>3285</v>
      </c>
      <c r="AN7" s="2" t="s">
        <v>3339</v>
      </c>
    </row>
    <row r="8" spans="1:50">
      <c r="A8" s="9" t="s">
        <v>572</v>
      </c>
      <c r="B8" s="9" t="s">
        <v>770</v>
      </c>
      <c r="C8" s="9" t="s">
        <v>771</v>
      </c>
      <c r="D8" s="9" t="s">
        <v>772</v>
      </c>
      <c r="E8" s="9" t="s">
        <v>3287</v>
      </c>
      <c r="F8" s="205" t="s">
        <v>3288</v>
      </c>
      <c r="G8" s="205" t="s">
        <v>3289</v>
      </c>
      <c r="H8" s="205" t="s">
        <v>3290</v>
      </c>
      <c r="I8" s="205" t="s">
        <v>3291</v>
      </c>
      <c r="J8" s="205" t="s">
        <v>3292</v>
      </c>
      <c r="K8" s="205" t="s">
        <v>3293</v>
      </c>
      <c r="L8" s="205" t="s">
        <v>3294</v>
      </c>
      <c r="M8" s="205" t="s">
        <v>3295</v>
      </c>
      <c r="N8" s="205" t="s">
        <v>3296</v>
      </c>
      <c r="O8" s="205" t="s">
        <v>3297</v>
      </c>
      <c r="P8" s="9" t="s">
        <v>3298</v>
      </c>
      <c r="Q8" s="205" t="s">
        <v>3299</v>
      </c>
      <c r="R8" s="205" t="s">
        <v>3300</v>
      </c>
      <c r="S8" s="205" t="s">
        <v>3301</v>
      </c>
      <c r="T8" s="205" t="s">
        <v>3302</v>
      </c>
      <c r="U8" s="205" t="s">
        <v>3303</v>
      </c>
      <c r="V8" s="205" t="s">
        <v>3304</v>
      </c>
      <c r="W8" s="205" t="s">
        <v>3305</v>
      </c>
      <c r="X8" s="205" t="s">
        <v>3306</v>
      </c>
      <c r="Y8" s="9" t="s">
        <v>3307</v>
      </c>
      <c r="Z8" s="9" t="s">
        <v>3308</v>
      </c>
      <c r="AA8" s="205" t="s">
        <v>3309</v>
      </c>
      <c r="AB8" s="205" t="s">
        <v>3310</v>
      </c>
      <c r="AC8" s="205" t="s">
        <v>3311</v>
      </c>
      <c r="AD8" s="205" t="s">
        <v>3312</v>
      </c>
      <c r="AE8" s="205" t="s">
        <v>3313</v>
      </c>
      <c r="AF8" s="205" t="s">
        <v>3314</v>
      </c>
      <c r="AG8" s="205" t="s">
        <v>3315</v>
      </c>
      <c r="AH8" s="205" t="s">
        <v>3316</v>
      </c>
      <c r="AI8" s="9" t="s">
        <v>3317</v>
      </c>
      <c r="AJ8" s="205" t="s">
        <v>3318</v>
      </c>
      <c r="AK8" s="205" t="s">
        <v>3319</v>
      </c>
      <c r="AL8" s="205" t="s">
        <v>3320</v>
      </c>
      <c r="AM8" s="9" t="s">
        <v>3321</v>
      </c>
      <c r="AN8" s="9" t="s">
        <v>3322</v>
      </c>
    </row>
    <row r="9" spans="1:50">
      <c r="A9" s="3" t="s">
        <v>667</v>
      </c>
      <c r="B9" s="3" t="s">
        <v>668</v>
      </c>
      <c r="C9" s="3">
        <v>2</v>
      </c>
      <c r="D9" s="3" t="s">
        <v>759</v>
      </c>
      <c r="E9" s="209">
        <v>14614.15</v>
      </c>
      <c r="F9" s="209">
        <v>14633.502</v>
      </c>
      <c r="G9" s="209">
        <v>14652.853999999999</v>
      </c>
      <c r="H9" s="209">
        <v>14672.206</v>
      </c>
      <c r="I9" s="209">
        <v>14691.557000000001</v>
      </c>
      <c r="J9" s="209">
        <v>14710.909</v>
      </c>
      <c r="K9" s="209">
        <v>14730.261</v>
      </c>
      <c r="L9" s="209">
        <v>14749.612999999999</v>
      </c>
      <c r="M9" s="209">
        <v>14768.964</v>
      </c>
      <c r="N9" s="209">
        <v>14788.316000000001</v>
      </c>
      <c r="O9" s="209">
        <v>14807.668</v>
      </c>
      <c r="P9" s="209">
        <v>14827.02</v>
      </c>
      <c r="Q9" s="209">
        <v>14732.387000000001</v>
      </c>
      <c r="R9" s="209">
        <v>14637.754000000001</v>
      </c>
      <c r="S9" s="209">
        <v>14543.120999999999</v>
      </c>
      <c r="T9" s="209">
        <v>14448.487999999999</v>
      </c>
      <c r="U9" s="209">
        <v>14353.855</v>
      </c>
      <c r="V9" s="209">
        <v>14259.222</v>
      </c>
      <c r="W9" s="209">
        <v>14164.589</v>
      </c>
      <c r="X9" s="209">
        <v>14069.956</v>
      </c>
      <c r="Y9" s="209">
        <v>13975.323</v>
      </c>
      <c r="Z9" s="209">
        <v>13880.69</v>
      </c>
      <c r="AA9" s="209">
        <v>13944.031000000001</v>
      </c>
      <c r="AB9" s="209">
        <v>14007.373</v>
      </c>
      <c r="AC9" s="209">
        <v>14070.714</v>
      </c>
      <c r="AD9" s="209">
        <v>14134.055</v>
      </c>
      <c r="AE9" s="209">
        <v>14197.396000000001</v>
      </c>
      <c r="AF9" s="209">
        <v>14260.736999999999</v>
      </c>
      <c r="AG9" s="209">
        <v>14324.078</v>
      </c>
      <c r="AH9" s="209">
        <v>14387.419</v>
      </c>
      <c r="AI9" s="209">
        <v>14450.76</v>
      </c>
      <c r="AJ9" s="209">
        <v>14515.528</v>
      </c>
      <c r="AK9" s="209">
        <v>14580.296</v>
      </c>
      <c r="AL9" s="209">
        <v>14645.064</v>
      </c>
      <c r="AM9" s="209">
        <v>14709.832</v>
      </c>
      <c r="AN9" s="209">
        <v>14774.6</v>
      </c>
    </row>
    <row r="10" spans="1:50">
      <c r="A10" s="3" t="s">
        <v>725</v>
      </c>
      <c r="B10" s="3" t="s">
        <v>726</v>
      </c>
      <c r="C10" s="3">
        <v>24</v>
      </c>
      <c r="D10" s="3" t="s">
        <v>664</v>
      </c>
      <c r="E10" s="209">
        <v>43.18</v>
      </c>
      <c r="F10" s="209">
        <v>43.864545999999997</v>
      </c>
      <c r="G10" s="209">
        <v>44.549090999999997</v>
      </c>
      <c r="H10" s="209">
        <v>45.233635999999997</v>
      </c>
      <c r="I10" s="209">
        <v>45.918182000000002</v>
      </c>
      <c r="J10" s="209">
        <v>46.602727000000002</v>
      </c>
      <c r="K10" s="209">
        <v>47.287272000000002</v>
      </c>
      <c r="L10" s="209">
        <v>47.971817999999999</v>
      </c>
      <c r="M10" s="209">
        <v>48.656362999999999</v>
      </c>
      <c r="N10" s="209">
        <v>49.340907999999999</v>
      </c>
      <c r="O10" s="209">
        <v>50.025454000000003</v>
      </c>
      <c r="P10" s="209">
        <v>50.709999000000003</v>
      </c>
      <c r="Q10" s="209">
        <v>51.581999000000003</v>
      </c>
      <c r="R10" s="209">
        <v>52.453999000000003</v>
      </c>
      <c r="S10" s="209">
        <v>53.325999000000003</v>
      </c>
      <c r="T10" s="209">
        <v>54.198</v>
      </c>
      <c r="U10" s="209">
        <v>55.07</v>
      </c>
      <c r="V10" s="209">
        <v>55.942</v>
      </c>
      <c r="W10" s="209">
        <v>56.814</v>
      </c>
      <c r="X10" s="209">
        <v>57.686</v>
      </c>
      <c r="Y10" s="209">
        <v>58.558</v>
      </c>
      <c r="Z10" s="209">
        <v>59.43</v>
      </c>
      <c r="AA10" s="209">
        <v>59.971111999999998</v>
      </c>
      <c r="AB10" s="209">
        <v>60.512222999999999</v>
      </c>
      <c r="AC10" s="209">
        <v>61.053334999999997</v>
      </c>
      <c r="AD10" s="209">
        <v>61.594445999999998</v>
      </c>
      <c r="AE10" s="209">
        <v>62.135556999999999</v>
      </c>
      <c r="AF10" s="209">
        <v>62.676668999999997</v>
      </c>
      <c r="AG10" s="209">
        <v>63.217779999999998</v>
      </c>
      <c r="AH10" s="209">
        <v>63.758892000000003</v>
      </c>
      <c r="AI10" s="209">
        <v>64.300003000000004</v>
      </c>
      <c r="AJ10" s="209">
        <v>64.864002999999997</v>
      </c>
      <c r="AK10" s="209">
        <v>65.428003000000004</v>
      </c>
      <c r="AL10" s="209">
        <v>65.992002999999997</v>
      </c>
      <c r="AM10" s="209">
        <v>66.556003000000004</v>
      </c>
      <c r="AN10" s="209">
        <v>67.120002999999997</v>
      </c>
    </row>
    <row r="11" spans="1:50">
      <c r="A11" s="3" t="s">
        <v>850</v>
      </c>
      <c r="B11" s="3" t="s">
        <v>851</v>
      </c>
      <c r="C11" s="3">
        <v>1</v>
      </c>
      <c r="D11" s="3" t="s">
        <v>759</v>
      </c>
      <c r="E11" s="209">
        <v>35.330002</v>
      </c>
      <c r="F11" s="209">
        <v>35.840910999999998</v>
      </c>
      <c r="G11" s="209">
        <v>36.351819999999996</v>
      </c>
      <c r="H11" s="209">
        <v>36.862729000000002</v>
      </c>
      <c r="I11" s="209">
        <v>37.373638</v>
      </c>
      <c r="J11" s="209">
        <v>37.884546999999998</v>
      </c>
      <c r="K11" s="209">
        <v>38.395456000000003</v>
      </c>
      <c r="L11" s="209">
        <v>38.906365000000001</v>
      </c>
      <c r="M11" s="209">
        <v>39.417273999999999</v>
      </c>
      <c r="N11" s="209">
        <v>39.928182999999997</v>
      </c>
      <c r="O11" s="209">
        <v>40.439092000000002</v>
      </c>
      <c r="P11" s="209">
        <v>40.950001</v>
      </c>
      <c r="Q11" s="209">
        <v>41.351000999999997</v>
      </c>
      <c r="R11" s="209">
        <v>41.752000000000002</v>
      </c>
      <c r="S11" s="209">
        <v>42.152999999999999</v>
      </c>
      <c r="T11" s="209">
        <v>42.554000000000002</v>
      </c>
      <c r="U11" s="209">
        <v>42.954999999999998</v>
      </c>
      <c r="V11" s="209">
        <v>43.356000000000002</v>
      </c>
      <c r="W11" s="209">
        <v>43.756999999999998</v>
      </c>
      <c r="X11" s="209">
        <v>44.157998999999997</v>
      </c>
      <c r="Y11" s="209">
        <v>44.558999</v>
      </c>
      <c r="Z11" s="209">
        <v>44.959999000000003</v>
      </c>
      <c r="AA11" s="209">
        <v>45.608888</v>
      </c>
      <c r="AB11" s="209">
        <v>46.257776999999997</v>
      </c>
      <c r="AC11" s="209">
        <v>46.906666000000001</v>
      </c>
      <c r="AD11" s="209">
        <v>47.555554999999998</v>
      </c>
      <c r="AE11" s="209">
        <v>48.204444000000002</v>
      </c>
      <c r="AF11" s="209">
        <v>48.853332999999999</v>
      </c>
      <c r="AG11" s="209">
        <v>49.502220999999999</v>
      </c>
      <c r="AH11" s="209">
        <v>50.151110000000003</v>
      </c>
      <c r="AI11" s="209">
        <v>50.799999</v>
      </c>
      <c r="AJ11" s="209">
        <v>51.495999000000005</v>
      </c>
      <c r="AK11" s="209">
        <v>52.191999000000003</v>
      </c>
      <c r="AL11" s="209">
        <v>52.887999000000001</v>
      </c>
      <c r="AM11" s="209">
        <v>53.583998999999999</v>
      </c>
      <c r="AN11" s="209">
        <v>54.279998999999997</v>
      </c>
      <c r="AP11" s="211"/>
      <c r="AQ11" s="211"/>
      <c r="AR11" s="211"/>
      <c r="AS11" s="211"/>
      <c r="AT11" s="211"/>
      <c r="AU11" s="211"/>
      <c r="AV11" s="211"/>
      <c r="AW11" s="211"/>
      <c r="AX11" s="211"/>
    </row>
    <row r="12" spans="1:50">
      <c r="A12" s="3" t="s">
        <v>714</v>
      </c>
      <c r="B12" s="3" t="s">
        <v>530</v>
      </c>
      <c r="C12" s="3">
        <v>14</v>
      </c>
      <c r="D12" s="3" t="s">
        <v>641</v>
      </c>
      <c r="E12" s="209">
        <v>19.760000000000002</v>
      </c>
      <c r="F12" s="209">
        <v>20.37</v>
      </c>
      <c r="G12" s="209">
        <v>20.98</v>
      </c>
      <c r="H12" s="209">
        <v>21.59</v>
      </c>
      <c r="I12" s="209">
        <v>22.2</v>
      </c>
      <c r="J12" s="209">
        <v>22.81</v>
      </c>
      <c r="K12" s="209">
        <v>23.42</v>
      </c>
      <c r="L12" s="209">
        <v>24.03</v>
      </c>
      <c r="M12" s="209">
        <v>24.64</v>
      </c>
      <c r="N12" s="209">
        <v>25.249998999999999</v>
      </c>
      <c r="O12" s="209">
        <v>25.859998999999998</v>
      </c>
      <c r="P12" s="209">
        <v>26.469999000000001</v>
      </c>
      <c r="Q12" s="209">
        <v>27.062999999999999</v>
      </c>
      <c r="R12" s="209">
        <v>27.655999999999999</v>
      </c>
      <c r="S12" s="209">
        <v>28.248999999999999</v>
      </c>
      <c r="T12" s="209">
        <v>28.841999999999999</v>
      </c>
      <c r="U12" s="209">
        <v>29.434999999999999</v>
      </c>
      <c r="V12" s="209">
        <v>30.028001</v>
      </c>
      <c r="W12" s="209">
        <v>30.621001</v>
      </c>
      <c r="X12" s="209">
        <v>31.214001</v>
      </c>
      <c r="Y12" s="209">
        <v>31.807001</v>
      </c>
      <c r="Z12" s="209">
        <v>32.400002000000001</v>
      </c>
      <c r="AA12" s="209">
        <v>32.906668000000003</v>
      </c>
      <c r="AB12" s="209">
        <v>33.413333999999999</v>
      </c>
      <c r="AC12" s="209">
        <v>33.920000999999999</v>
      </c>
      <c r="AD12" s="209">
        <v>34.426667000000002</v>
      </c>
      <c r="AE12" s="209">
        <v>34.933334000000002</v>
      </c>
      <c r="AF12" s="209">
        <v>35.44</v>
      </c>
      <c r="AG12" s="209">
        <v>35.946666</v>
      </c>
      <c r="AH12" s="209">
        <v>36.453333000000001</v>
      </c>
      <c r="AI12" s="209">
        <v>36.959999000000003</v>
      </c>
      <c r="AJ12" s="209">
        <v>37.505999000000003</v>
      </c>
      <c r="AK12" s="209">
        <v>38.051999000000002</v>
      </c>
      <c r="AL12" s="209">
        <v>38.597999000000002</v>
      </c>
      <c r="AM12" s="209">
        <v>39.143999000000001</v>
      </c>
      <c r="AN12" s="209">
        <v>39.689999</v>
      </c>
    </row>
    <row r="13" spans="1:50">
      <c r="A13" s="3" t="s">
        <v>80</v>
      </c>
      <c r="B13" s="3" t="s">
        <v>747</v>
      </c>
      <c r="C13" s="3">
        <v>21</v>
      </c>
      <c r="D13" s="3" t="s">
        <v>759</v>
      </c>
      <c r="E13" s="209">
        <v>18.540001</v>
      </c>
      <c r="F13" s="209">
        <v>18.767274</v>
      </c>
      <c r="G13" s="209">
        <v>18.994546</v>
      </c>
      <c r="H13" s="209">
        <v>19.221819</v>
      </c>
      <c r="I13" s="209">
        <v>19.449092</v>
      </c>
      <c r="J13" s="209">
        <v>19.676365000000001</v>
      </c>
      <c r="K13" s="209">
        <v>19.903637</v>
      </c>
      <c r="L13" s="209">
        <v>20.13091</v>
      </c>
      <c r="M13" s="209">
        <v>20.358183</v>
      </c>
      <c r="N13" s="209">
        <v>20.585455</v>
      </c>
      <c r="O13" s="209">
        <v>20.812728</v>
      </c>
      <c r="P13" s="209">
        <v>21.040001</v>
      </c>
      <c r="Q13" s="209">
        <v>21.192001000000001</v>
      </c>
      <c r="R13" s="209">
        <v>21.344000999999999</v>
      </c>
      <c r="S13" s="209">
        <v>21.495999999999999</v>
      </c>
      <c r="T13" s="209">
        <v>21.648</v>
      </c>
      <c r="U13" s="209">
        <v>21.8</v>
      </c>
      <c r="V13" s="209">
        <v>21.952000000000002</v>
      </c>
      <c r="W13" s="209">
        <v>22.103999999999999</v>
      </c>
      <c r="X13" s="209">
        <v>22.256</v>
      </c>
      <c r="Y13" s="209">
        <v>22.408000000000001</v>
      </c>
      <c r="Z13" s="209">
        <v>22.559999000000001</v>
      </c>
      <c r="AA13" s="209">
        <v>22.722221999999999</v>
      </c>
      <c r="AB13" s="209">
        <v>22.884443999999998</v>
      </c>
      <c r="AC13" s="209">
        <v>23.046665999999998</v>
      </c>
      <c r="AD13" s="209">
        <v>23.208888999999999</v>
      </c>
      <c r="AE13" s="209">
        <v>23.371110999999999</v>
      </c>
      <c r="AF13" s="209">
        <v>23.533332999999999</v>
      </c>
      <c r="AG13" s="209">
        <v>23.695556</v>
      </c>
      <c r="AH13" s="209">
        <v>23.857778</v>
      </c>
      <c r="AI13" s="209">
        <v>24.02</v>
      </c>
      <c r="AJ13" s="209">
        <v>24.187999999999999</v>
      </c>
      <c r="AK13" s="209">
        <v>24.356000999999999</v>
      </c>
      <c r="AL13" s="209">
        <v>24.524000999999998</v>
      </c>
      <c r="AM13" s="209">
        <v>24.692001000000001</v>
      </c>
      <c r="AN13" s="209">
        <v>24.860001</v>
      </c>
    </row>
    <row r="14" spans="1:50">
      <c r="A14" s="3" t="s">
        <v>542</v>
      </c>
      <c r="B14" s="3" t="s">
        <v>543</v>
      </c>
      <c r="C14" s="3">
        <v>6</v>
      </c>
      <c r="D14" s="3" t="s">
        <v>759</v>
      </c>
      <c r="E14" s="209">
        <v>14.56</v>
      </c>
      <c r="F14" s="209">
        <v>14.758182</v>
      </c>
      <c r="G14" s="209">
        <v>14.956364000000001</v>
      </c>
      <c r="H14" s="209">
        <v>15.154546</v>
      </c>
      <c r="I14" s="209">
        <v>15.352727</v>
      </c>
      <c r="J14" s="209">
        <v>15.550909000000001</v>
      </c>
      <c r="K14" s="209">
        <v>15.749091</v>
      </c>
      <c r="L14" s="209">
        <v>15.947272999999999</v>
      </c>
      <c r="M14" s="209">
        <v>16.145454000000001</v>
      </c>
      <c r="N14" s="209">
        <v>16.343636</v>
      </c>
      <c r="O14" s="209">
        <v>16.541817999999999</v>
      </c>
      <c r="P14" s="209">
        <v>16.739999999999998</v>
      </c>
      <c r="Q14" s="209">
        <v>16.920999999999999</v>
      </c>
      <c r="R14" s="209">
        <v>17.102</v>
      </c>
      <c r="S14" s="209">
        <v>17.283000000000001</v>
      </c>
      <c r="T14" s="209">
        <v>17.463999999999999</v>
      </c>
      <c r="U14" s="209">
        <v>17.645</v>
      </c>
      <c r="V14" s="209">
        <v>17.825998999999999</v>
      </c>
      <c r="W14" s="209">
        <v>18.006999</v>
      </c>
      <c r="X14" s="209">
        <v>18.187999000000001</v>
      </c>
      <c r="Y14" s="209">
        <v>18.368998999999999</v>
      </c>
      <c r="Z14" s="209">
        <v>18.549999</v>
      </c>
      <c r="AA14" s="209">
        <v>18.712222000000001</v>
      </c>
      <c r="AB14" s="209">
        <v>18.874444</v>
      </c>
      <c r="AC14" s="209">
        <v>19.036666</v>
      </c>
      <c r="AD14" s="209">
        <v>19.198889000000001</v>
      </c>
      <c r="AE14" s="209">
        <v>19.361111000000001</v>
      </c>
      <c r="AF14" s="209">
        <v>19.523333000000001</v>
      </c>
      <c r="AG14" s="209">
        <v>19.685555999999998</v>
      </c>
      <c r="AH14" s="209">
        <v>19.847778000000002</v>
      </c>
      <c r="AI14" s="209">
        <v>20.010000000000002</v>
      </c>
      <c r="AJ14" s="209">
        <v>20.18</v>
      </c>
      <c r="AK14" s="209">
        <v>20.350000000000001</v>
      </c>
      <c r="AL14" s="209">
        <v>20.52</v>
      </c>
      <c r="AM14" s="209">
        <v>20.690000999999999</v>
      </c>
      <c r="AN14" s="209">
        <v>20.860001</v>
      </c>
    </row>
    <row r="15" spans="1:50">
      <c r="A15" s="3" t="s">
        <v>630</v>
      </c>
      <c r="B15" s="3" t="s">
        <v>631</v>
      </c>
      <c r="C15" s="3">
        <v>8</v>
      </c>
      <c r="D15" s="3" t="s">
        <v>759</v>
      </c>
      <c r="E15" s="209">
        <v>11.53</v>
      </c>
      <c r="F15" s="209">
        <v>11.659091</v>
      </c>
      <c r="G15" s="209">
        <v>11.788182000000001</v>
      </c>
      <c r="H15" s="209">
        <v>11.917272000000001</v>
      </c>
      <c r="I15" s="209">
        <v>12.046362999999999</v>
      </c>
      <c r="J15" s="209">
        <v>12.175454</v>
      </c>
      <c r="K15" s="209">
        <v>12.304544999999999</v>
      </c>
      <c r="L15" s="209">
        <v>12.433636</v>
      </c>
      <c r="M15" s="209">
        <v>12.562727000000001</v>
      </c>
      <c r="N15" s="209">
        <v>12.691818</v>
      </c>
      <c r="O15" s="209">
        <v>12.820909</v>
      </c>
      <c r="P15" s="209">
        <v>12.95</v>
      </c>
      <c r="Q15" s="209">
        <v>13.125</v>
      </c>
      <c r="R15" s="209">
        <v>13.3</v>
      </c>
      <c r="S15" s="209">
        <v>13.475</v>
      </c>
      <c r="T15" s="209">
        <v>13.65</v>
      </c>
      <c r="U15" s="209">
        <v>13.824999999999999</v>
      </c>
      <c r="V15" s="209">
        <v>14</v>
      </c>
      <c r="W15" s="209">
        <v>14.175000000000001</v>
      </c>
      <c r="X15" s="209">
        <v>14.35</v>
      </c>
      <c r="Y15" s="209">
        <v>14.525</v>
      </c>
      <c r="Z15" s="209">
        <v>14.7</v>
      </c>
      <c r="AA15" s="209">
        <v>14.81</v>
      </c>
      <c r="AB15" s="209">
        <v>14.92</v>
      </c>
      <c r="AC15" s="209">
        <v>15.03</v>
      </c>
      <c r="AD15" s="209">
        <v>15.14</v>
      </c>
      <c r="AE15" s="209">
        <v>15.25</v>
      </c>
      <c r="AF15" s="209">
        <v>15.36</v>
      </c>
      <c r="AG15" s="209">
        <v>15.47</v>
      </c>
      <c r="AH15" s="209">
        <v>15.58</v>
      </c>
      <c r="AI15" s="209">
        <v>15.69</v>
      </c>
      <c r="AJ15" s="209">
        <v>15.804</v>
      </c>
      <c r="AK15" s="209">
        <v>15.917999999999999</v>
      </c>
      <c r="AL15" s="209">
        <v>16.032</v>
      </c>
      <c r="AM15" s="209">
        <v>16.146000000000001</v>
      </c>
      <c r="AN15" s="209">
        <v>16.260000000000002</v>
      </c>
    </row>
    <row r="16" spans="1:50">
      <c r="A16" s="3" t="s">
        <v>634</v>
      </c>
      <c r="B16" s="3" t="s">
        <v>715</v>
      </c>
      <c r="C16" s="3">
        <v>10</v>
      </c>
      <c r="D16" s="3" t="s">
        <v>664</v>
      </c>
      <c r="E16" s="209">
        <v>7.6999997999999996</v>
      </c>
      <c r="F16" s="209">
        <v>7.8754543999999997</v>
      </c>
      <c r="G16" s="209">
        <v>8.0509090000000008</v>
      </c>
      <c r="H16" s="209">
        <v>8.2263634999999997</v>
      </c>
      <c r="I16" s="209">
        <v>8.4018180999999998</v>
      </c>
      <c r="J16" s="209">
        <v>8.5772727</v>
      </c>
      <c r="K16" s="209">
        <v>8.7527272000000007</v>
      </c>
      <c r="L16" s="209">
        <v>8.9281818000000008</v>
      </c>
      <c r="M16" s="209">
        <v>9.1036363999999992</v>
      </c>
      <c r="N16" s="209">
        <v>9.2790909999999993</v>
      </c>
      <c r="O16" s="209">
        <v>9.4545455</v>
      </c>
      <c r="P16" s="209">
        <v>9.6300001000000002</v>
      </c>
      <c r="Q16" s="209">
        <v>9.8170000999999996</v>
      </c>
      <c r="R16" s="209">
        <v>10.004</v>
      </c>
      <c r="S16" s="209">
        <v>10.191000000000001</v>
      </c>
      <c r="T16" s="209">
        <v>10.378</v>
      </c>
      <c r="U16" s="209">
        <v>10.565</v>
      </c>
      <c r="V16" s="209">
        <v>10.752000000000001</v>
      </c>
      <c r="W16" s="209">
        <v>10.939</v>
      </c>
      <c r="X16" s="209">
        <v>11.125999999999999</v>
      </c>
      <c r="Y16" s="209">
        <v>11.313000000000001</v>
      </c>
      <c r="Z16" s="209">
        <v>11.5</v>
      </c>
      <c r="AA16" s="209">
        <v>11.627777999999999</v>
      </c>
      <c r="AB16" s="209">
        <v>11.755554999999999</v>
      </c>
      <c r="AC16" s="209">
        <v>11.883333</v>
      </c>
      <c r="AD16" s="209">
        <v>12.011111</v>
      </c>
      <c r="AE16" s="209">
        <v>12.138889000000001</v>
      </c>
      <c r="AF16" s="209">
        <v>12.266666000000001</v>
      </c>
      <c r="AG16" s="209">
        <v>12.394444</v>
      </c>
      <c r="AH16" s="209">
        <v>12.522221999999999</v>
      </c>
      <c r="AI16" s="209">
        <v>12.65</v>
      </c>
      <c r="AJ16" s="209">
        <v>12.786</v>
      </c>
      <c r="AK16" s="209">
        <v>12.922000000000001</v>
      </c>
      <c r="AL16" s="209">
        <v>13.058</v>
      </c>
      <c r="AM16" s="209">
        <v>13.194000000000001</v>
      </c>
      <c r="AN16" s="209">
        <v>13.33</v>
      </c>
    </row>
    <row r="17" spans="1:40">
      <c r="A17" s="3" t="s">
        <v>711</v>
      </c>
      <c r="B17" s="3" t="s">
        <v>712</v>
      </c>
      <c r="C17" s="3">
        <v>13</v>
      </c>
      <c r="D17" s="3" t="s">
        <v>713</v>
      </c>
      <c r="E17" s="209">
        <v>8.0399999999999991</v>
      </c>
      <c r="F17" s="209">
        <v>8.1718180999999994</v>
      </c>
      <c r="G17" s="209">
        <v>8.3036363000000009</v>
      </c>
      <c r="H17" s="209">
        <v>8.4354545000000005</v>
      </c>
      <c r="I17" s="209">
        <v>8.5672726000000008</v>
      </c>
      <c r="J17" s="209">
        <v>8.6990908000000005</v>
      </c>
      <c r="K17" s="209">
        <v>8.8309089000000007</v>
      </c>
      <c r="L17" s="209">
        <v>8.9627271000000004</v>
      </c>
      <c r="M17" s="209">
        <v>9.0945453000000001</v>
      </c>
      <c r="N17" s="209">
        <v>9.2263634000000003</v>
      </c>
      <c r="O17" s="209">
        <v>9.3581816</v>
      </c>
      <c r="P17" s="209">
        <v>9.4899997999999997</v>
      </c>
      <c r="Q17" s="209">
        <v>9.6019997999999998</v>
      </c>
      <c r="R17" s="209">
        <v>9.7139997000000005</v>
      </c>
      <c r="S17" s="209">
        <v>9.8259997000000006</v>
      </c>
      <c r="T17" s="209">
        <v>9.9379997000000007</v>
      </c>
      <c r="U17" s="209">
        <v>10.050000000000001</v>
      </c>
      <c r="V17" s="209">
        <v>10.162000000000001</v>
      </c>
      <c r="W17" s="209">
        <v>10.273999999999999</v>
      </c>
      <c r="X17" s="209">
        <v>10.385999999999999</v>
      </c>
      <c r="Y17" s="209">
        <v>10.497999999999999</v>
      </c>
      <c r="Z17" s="209">
        <v>10.61</v>
      </c>
      <c r="AA17" s="209">
        <v>10.728889000000001</v>
      </c>
      <c r="AB17" s="209">
        <v>10.847778</v>
      </c>
      <c r="AC17" s="209">
        <v>10.966666999999999</v>
      </c>
      <c r="AD17" s="209">
        <v>11.085556</v>
      </c>
      <c r="AE17" s="209">
        <v>11.204444000000001</v>
      </c>
      <c r="AF17" s="209">
        <v>11.323333</v>
      </c>
      <c r="AG17" s="209">
        <v>11.442221999999999</v>
      </c>
      <c r="AH17" s="209">
        <v>11.561111</v>
      </c>
      <c r="AI17" s="209">
        <v>11.68</v>
      </c>
      <c r="AJ17" s="209">
        <v>11.805999999999999</v>
      </c>
      <c r="AK17" s="209">
        <v>11.932</v>
      </c>
      <c r="AL17" s="209">
        <v>12.058</v>
      </c>
      <c r="AM17" s="209">
        <v>12.183999999999999</v>
      </c>
      <c r="AN17" s="209">
        <v>12.31</v>
      </c>
    </row>
    <row r="18" spans="1:40">
      <c r="A18" s="3" t="s">
        <v>628</v>
      </c>
      <c r="B18" s="3" t="s">
        <v>629</v>
      </c>
      <c r="C18" s="3">
        <v>7</v>
      </c>
      <c r="D18" s="3" t="s">
        <v>641</v>
      </c>
      <c r="E18" s="209">
        <v>7.5</v>
      </c>
      <c r="F18" s="209">
        <v>7.6381819000000002</v>
      </c>
      <c r="G18" s="209">
        <v>7.7763637000000001</v>
      </c>
      <c r="H18" s="209">
        <v>7.9145456000000003</v>
      </c>
      <c r="I18" s="209">
        <v>8.0527274000000002</v>
      </c>
      <c r="J18" s="209">
        <v>8.1909092999999995</v>
      </c>
      <c r="K18" s="209">
        <v>8.3290912000000006</v>
      </c>
      <c r="L18" s="209">
        <v>8.4672730000000005</v>
      </c>
      <c r="M18" s="209">
        <v>8.6054548999999998</v>
      </c>
      <c r="N18" s="209">
        <v>8.7436366999999997</v>
      </c>
      <c r="O18" s="209">
        <v>8.8818186000000008</v>
      </c>
      <c r="P18" s="209">
        <v>9.0200005000000001</v>
      </c>
      <c r="Q18" s="209">
        <v>9.1740005</v>
      </c>
      <c r="R18" s="209">
        <v>9.3280004999999999</v>
      </c>
      <c r="S18" s="209">
        <v>9.4820004000000004</v>
      </c>
      <c r="T18" s="209">
        <v>9.6360004000000004</v>
      </c>
      <c r="U18" s="209">
        <v>9.7900004000000003</v>
      </c>
      <c r="V18" s="209">
        <v>9.9440004000000002</v>
      </c>
      <c r="W18" s="209">
        <v>10.098000000000001</v>
      </c>
      <c r="X18" s="209">
        <v>10.252000000000001</v>
      </c>
      <c r="Y18" s="209">
        <v>10.406000000000001</v>
      </c>
      <c r="Z18" s="209">
        <v>10.56</v>
      </c>
      <c r="AA18" s="209">
        <v>10.636666999999999</v>
      </c>
      <c r="AB18" s="209">
        <v>10.713334</v>
      </c>
      <c r="AC18" s="209">
        <v>10.79</v>
      </c>
      <c r="AD18" s="209">
        <v>10.866667</v>
      </c>
      <c r="AE18" s="209">
        <v>10.943334</v>
      </c>
      <c r="AF18" s="209">
        <v>11.02</v>
      </c>
      <c r="AG18" s="209">
        <v>11.096667</v>
      </c>
      <c r="AH18" s="209">
        <v>11.173333</v>
      </c>
      <c r="AI18" s="209">
        <v>11.25</v>
      </c>
      <c r="AJ18" s="209">
        <v>11.332000000000001</v>
      </c>
      <c r="AK18" s="209">
        <v>11.414</v>
      </c>
      <c r="AL18" s="209">
        <v>11.496</v>
      </c>
      <c r="AM18" s="209">
        <v>11.577999999999999</v>
      </c>
      <c r="AN18" s="209">
        <v>11.66</v>
      </c>
    </row>
    <row r="19" spans="1:40">
      <c r="A19" s="3" t="s">
        <v>665</v>
      </c>
      <c r="B19" s="3" t="s">
        <v>640</v>
      </c>
      <c r="C19" s="3">
        <v>4</v>
      </c>
      <c r="D19" s="3" t="s">
        <v>641</v>
      </c>
      <c r="E19" s="209">
        <v>7.04</v>
      </c>
      <c r="F19" s="209">
        <v>7.1663636000000004</v>
      </c>
      <c r="G19" s="209">
        <v>7.2927273000000001</v>
      </c>
      <c r="H19" s="209">
        <v>7.4190909999999999</v>
      </c>
      <c r="I19" s="209">
        <v>7.5454546000000002</v>
      </c>
      <c r="J19" s="209">
        <v>7.6718183</v>
      </c>
      <c r="K19" s="209">
        <v>7.7981819999999997</v>
      </c>
      <c r="L19" s="209">
        <v>7.9245456000000001</v>
      </c>
      <c r="M19" s="209">
        <v>8.0509093000000007</v>
      </c>
      <c r="N19" s="209">
        <v>8.1772729999999996</v>
      </c>
      <c r="O19" s="209">
        <v>8.3036366000000008</v>
      </c>
      <c r="P19" s="209">
        <v>8.4300002999999997</v>
      </c>
      <c r="Q19" s="209">
        <v>8.5750002999999992</v>
      </c>
      <c r="R19" s="209">
        <v>8.7200003000000006</v>
      </c>
      <c r="S19" s="209">
        <v>8.8650002000000008</v>
      </c>
      <c r="T19" s="209">
        <v>9.0100002000000003</v>
      </c>
      <c r="U19" s="209">
        <v>9.1550001999999999</v>
      </c>
      <c r="V19" s="209">
        <v>9.3000001999999995</v>
      </c>
      <c r="W19" s="209">
        <v>9.4450002000000008</v>
      </c>
      <c r="X19" s="209">
        <v>9.5900002000000004</v>
      </c>
      <c r="Y19" s="209">
        <v>9.7350001000000006</v>
      </c>
      <c r="Z19" s="209">
        <v>9.8800001000000002</v>
      </c>
      <c r="AA19" s="209">
        <v>9.9588889999999992</v>
      </c>
      <c r="AB19" s="209">
        <v>10.037777999999999</v>
      </c>
      <c r="AC19" s="209">
        <v>10.116667</v>
      </c>
      <c r="AD19" s="209">
        <v>10.195556</v>
      </c>
      <c r="AE19" s="209">
        <v>10.274445</v>
      </c>
      <c r="AF19" s="209">
        <v>10.353332999999999</v>
      </c>
      <c r="AG19" s="209">
        <v>10.432221999999999</v>
      </c>
      <c r="AH19" s="209">
        <v>10.511111</v>
      </c>
      <c r="AI19" s="209">
        <v>10.59</v>
      </c>
      <c r="AJ19" s="209">
        <v>10.672000000000001</v>
      </c>
      <c r="AK19" s="209">
        <v>10.754</v>
      </c>
      <c r="AL19" s="209">
        <v>10.836</v>
      </c>
      <c r="AM19" s="209">
        <v>10.917999999999999</v>
      </c>
      <c r="AN19" s="209">
        <v>11</v>
      </c>
    </row>
    <row r="20" spans="1:40">
      <c r="A20" s="3" t="s">
        <v>926</v>
      </c>
      <c r="B20" s="3" t="s">
        <v>927</v>
      </c>
      <c r="C20" s="3">
        <v>17</v>
      </c>
      <c r="D20" s="3" t="s">
        <v>664</v>
      </c>
      <c r="E20" s="209">
        <v>4.2600002000000003</v>
      </c>
      <c r="F20" s="209">
        <v>4.3790911000000001</v>
      </c>
      <c r="G20" s="209">
        <v>4.4981819999999999</v>
      </c>
      <c r="H20" s="209">
        <v>4.6172728999999997</v>
      </c>
      <c r="I20" s="209">
        <v>4.7363638000000003</v>
      </c>
      <c r="J20" s="209">
        <v>4.8554547000000001</v>
      </c>
      <c r="K20" s="209">
        <v>4.9745457000000002</v>
      </c>
      <c r="L20" s="209">
        <v>5.0936366</v>
      </c>
      <c r="M20" s="209">
        <v>5.2127274999999997</v>
      </c>
      <c r="N20" s="209">
        <v>5.3318184000000004</v>
      </c>
      <c r="O20" s="209">
        <v>5.4509093000000002</v>
      </c>
      <c r="P20" s="209">
        <v>5.5700002</v>
      </c>
      <c r="Q20" s="209">
        <v>5.7070002000000004</v>
      </c>
      <c r="R20" s="209">
        <v>5.8440000999999997</v>
      </c>
      <c r="S20" s="209">
        <v>5.9810001000000002</v>
      </c>
      <c r="T20" s="209">
        <v>6.1180000999999997</v>
      </c>
      <c r="U20" s="209">
        <v>6.2550001000000002</v>
      </c>
      <c r="V20" s="209">
        <v>6.3920000999999997</v>
      </c>
      <c r="W20" s="209">
        <v>6.5290001000000002</v>
      </c>
      <c r="X20" s="209">
        <v>6.6660000999999998</v>
      </c>
      <c r="Y20" s="209">
        <v>6.8030001000000002</v>
      </c>
      <c r="Z20" s="209">
        <v>6.9400000999999998</v>
      </c>
      <c r="AA20" s="209">
        <v>7.0366666999999996</v>
      </c>
      <c r="AB20" s="209">
        <v>7.1333333999999997</v>
      </c>
      <c r="AC20" s="209">
        <v>7.23</v>
      </c>
      <c r="AD20" s="209">
        <v>7.3266666999999996</v>
      </c>
      <c r="AE20" s="209">
        <v>7.4233333000000004</v>
      </c>
      <c r="AF20" s="209">
        <v>7.52</v>
      </c>
      <c r="AG20" s="209">
        <v>7.6166666000000003</v>
      </c>
      <c r="AH20" s="209">
        <v>7.7133333000000004</v>
      </c>
      <c r="AI20" s="209">
        <v>7.8099999000000002</v>
      </c>
      <c r="AJ20" s="209">
        <v>7.9139999000000003</v>
      </c>
      <c r="AK20" s="209">
        <v>8.0179998999999995</v>
      </c>
      <c r="AL20" s="209">
        <v>8.1219999000000005</v>
      </c>
      <c r="AM20" s="209">
        <v>8.2259998999999997</v>
      </c>
      <c r="AN20" s="209">
        <v>8.3299999000000007</v>
      </c>
    </row>
    <row r="21" spans="1:40">
      <c r="A21" s="3" t="s">
        <v>928</v>
      </c>
      <c r="B21" s="3" t="s">
        <v>929</v>
      </c>
      <c r="C21" s="3">
        <v>18</v>
      </c>
      <c r="D21" s="3" t="s">
        <v>713</v>
      </c>
      <c r="E21" s="209">
        <v>5.1999997999999996</v>
      </c>
      <c r="F21" s="209">
        <v>5.2636361999999997</v>
      </c>
      <c r="G21" s="209">
        <v>5.3272725999999997</v>
      </c>
      <c r="H21" s="209">
        <v>5.3909089999999997</v>
      </c>
      <c r="I21" s="209">
        <v>5.4545453999999998</v>
      </c>
      <c r="J21" s="209">
        <v>5.5181817999999998</v>
      </c>
      <c r="K21" s="209">
        <v>5.5818180999999996</v>
      </c>
      <c r="L21" s="209">
        <v>5.6454544999999996</v>
      </c>
      <c r="M21" s="209">
        <v>5.7090908999999996</v>
      </c>
      <c r="N21" s="209">
        <v>5.7727272999999997</v>
      </c>
      <c r="O21" s="209">
        <v>5.8363636999999997</v>
      </c>
      <c r="P21" s="209">
        <v>5.9000000999999997</v>
      </c>
      <c r="Q21" s="209">
        <v>6.0020001000000001</v>
      </c>
      <c r="R21" s="209">
        <v>6.1040001000000004</v>
      </c>
      <c r="S21" s="209">
        <v>6.2060000999999998</v>
      </c>
      <c r="T21" s="209">
        <v>6.3080001000000001</v>
      </c>
      <c r="U21" s="209">
        <v>6.4100001000000004</v>
      </c>
      <c r="V21" s="209">
        <v>6.5120000999999998</v>
      </c>
      <c r="W21" s="209">
        <v>6.6140001000000002</v>
      </c>
      <c r="X21" s="209">
        <v>6.7160000999999996</v>
      </c>
      <c r="Y21" s="209">
        <v>6.8180000999999999</v>
      </c>
      <c r="Z21" s="209">
        <v>6.9200001000000002</v>
      </c>
      <c r="AA21" s="209">
        <v>6.9955556000000003</v>
      </c>
      <c r="AB21" s="209">
        <v>7.0711111000000004</v>
      </c>
      <c r="AC21" s="209">
        <v>7.1466666999999999</v>
      </c>
      <c r="AD21" s="209">
        <v>7.2222222</v>
      </c>
      <c r="AE21" s="209">
        <v>7.2977778000000004</v>
      </c>
      <c r="AF21" s="209">
        <v>7.3733332999999996</v>
      </c>
      <c r="AG21" s="209">
        <v>7.4488887999999998</v>
      </c>
      <c r="AH21" s="209">
        <v>7.5244444000000001</v>
      </c>
      <c r="AI21" s="209">
        <v>7.5999999000000003</v>
      </c>
      <c r="AJ21" s="209">
        <v>7.6799999000000003</v>
      </c>
      <c r="AK21" s="209">
        <v>7.7599999000000004</v>
      </c>
      <c r="AL21" s="209">
        <v>7.84</v>
      </c>
      <c r="AM21" s="209">
        <v>7.92</v>
      </c>
      <c r="AN21" s="209">
        <v>8</v>
      </c>
    </row>
    <row r="22" spans="1:40">
      <c r="A22" s="3" t="s">
        <v>632</v>
      </c>
      <c r="B22" s="3" t="s">
        <v>633</v>
      </c>
      <c r="C22" s="3">
        <v>9</v>
      </c>
      <c r="D22" s="3" t="s">
        <v>641</v>
      </c>
      <c r="E22" s="209">
        <v>4.1100000999999997</v>
      </c>
      <c r="F22" s="209">
        <v>4.2390910000000002</v>
      </c>
      <c r="G22" s="209">
        <v>4.368182</v>
      </c>
      <c r="H22" s="209">
        <v>4.4972728999999996</v>
      </c>
      <c r="I22" s="209">
        <v>4.6263638</v>
      </c>
      <c r="J22" s="209">
        <v>4.7554546999999996</v>
      </c>
      <c r="K22" s="209">
        <v>4.8845456</v>
      </c>
      <c r="L22" s="209">
        <v>5.0136364999999996</v>
      </c>
      <c r="M22" s="209">
        <v>5.1427275000000003</v>
      </c>
      <c r="N22" s="209">
        <v>5.2718183999999999</v>
      </c>
      <c r="O22" s="209">
        <v>5.4009093000000004</v>
      </c>
      <c r="P22" s="209">
        <v>5.5300001999999999</v>
      </c>
      <c r="Q22" s="209">
        <v>5.6520001999999998</v>
      </c>
      <c r="R22" s="209">
        <v>5.7740001999999997</v>
      </c>
      <c r="S22" s="209">
        <v>5.8960001000000002</v>
      </c>
      <c r="T22" s="209">
        <v>6.0180001000000001</v>
      </c>
      <c r="U22" s="209">
        <v>6.1400001</v>
      </c>
      <c r="V22" s="209">
        <v>6.2620000999999998</v>
      </c>
      <c r="W22" s="209">
        <v>6.3840000999999997</v>
      </c>
      <c r="X22" s="209">
        <v>6.5060000000000002</v>
      </c>
      <c r="Y22" s="209">
        <v>6.6280000000000001</v>
      </c>
      <c r="Z22" s="209">
        <v>6.75</v>
      </c>
      <c r="AA22" s="209">
        <v>6.8177778</v>
      </c>
      <c r="AB22" s="209">
        <v>6.8855556</v>
      </c>
      <c r="AC22" s="209">
        <v>6.9533334</v>
      </c>
      <c r="AD22" s="209">
        <v>7.0211112</v>
      </c>
      <c r="AE22" s="209">
        <v>7.088889</v>
      </c>
      <c r="AF22" s="209">
        <v>7.1566668</v>
      </c>
      <c r="AG22" s="209">
        <v>7.2244444999999997</v>
      </c>
      <c r="AH22" s="209">
        <v>7.2922222999999997</v>
      </c>
      <c r="AI22" s="209">
        <v>7.3600000999999997</v>
      </c>
      <c r="AJ22" s="209">
        <v>7.4300001</v>
      </c>
      <c r="AK22" s="209">
        <v>7.5000001000000003</v>
      </c>
      <c r="AL22" s="209">
        <v>7.5700000999999997</v>
      </c>
      <c r="AM22" s="209">
        <v>7.6400001</v>
      </c>
      <c r="AN22" s="209">
        <v>7.71</v>
      </c>
    </row>
    <row r="23" spans="1:40">
      <c r="A23" s="3" t="s">
        <v>721</v>
      </c>
      <c r="B23" s="3" t="s">
        <v>722</v>
      </c>
      <c r="C23" s="3">
        <v>22</v>
      </c>
      <c r="D23" s="3" t="s">
        <v>664</v>
      </c>
      <c r="E23" s="209">
        <v>4.3600000999999997</v>
      </c>
      <c r="F23" s="209">
        <v>4.4118183000000002</v>
      </c>
      <c r="G23" s="209">
        <v>4.4636364000000004</v>
      </c>
      <c r="H23" s="209">
        <v>4.5154546</v>
      </c>
      <c r="I23" s="209">
        <v>4.5672727000000002</v>
      </c>
      <c r="J23" s="209">
        <v>4.6190908999999998</v>
      </c>
      <c r="K23" s="209">
        <v>4.6709091000000003</v>
      </c>
      <c r="L23" s="209">
        <v>4.7227271999999996</v>
      </c>
      <c r="M23" s="209">
        <v>4.7745454000000001</v>
      </c>
      <c r="N23" s="209">
        <v>4.8263635000000003</v>
      </c>
      <c r="O23" s="209">
        <v>4.8781816999999998</v>
      </c>
      <c r="P23" s="209">
        <v>4.9299998</v>
      </c>
      <c r="Q23" s="209">
        <v>5.0269998999999999</v>
      </c>
      <c r="R23" s="209">
        <v>5.1239999000000003</v>
      </c>
      <c r="S23" s="209">
        <v>5.2209998999999998</v>
      </c>
      <c r="T23" s="209">
        <v>5.3179999000000002</v>
      </c>
      <c r="U23" s="209">
        <v>5.415</v>
      </c>
      <c r="V23" s="209">
        <v>5.5119999999999996</v>
      </c>
      <c r="W23" s="209">
        <v>5.609</v>
      </c>
      <c r="X23" s="209">
        <v>5.7060000000000004</v>
      </c>
      <c r="Y23" s="209">
        <v>5.8030001000000002</v>
      </c>
      <c r="Z23" s="209">
        <v>5.9000000999999997</v>
      </c>
      <c r="AA23" s="209">
        <v>5.9566667000000004</v>
      </c>
      <c r="AB23" s="209">
        <v>6.0133333999999996</v>
      </c>
      <c r="AC23" s="209">
        <v>6.07</v>
      </c>
      <c r="AD23" s="209">
        <v>6.1266667000000004</v>
      </c>
      <c r="AE23" s="209">
        <v>6.1833333000000001</v>
      </c>
      <c r="AF23" s="209">
        <v>6.2399998999999999</v>
      </c>
      <c r="AG23" s="209">
        <v>6.2966666</v>
      </c>
      <c r="AH23" s="209">
        <v>6.3533331999999998</v>
      </c>
      <c r="AI23" s="209">
        <v>6.4099997999999996</v>
      </c>
      <c r="AJ23" s="209">
        <v>6.4699999000000004</v>
      </c>
      <c r="AK23" s="209">
        <v>6.5299999</v>
      </c>
      <c r="AL23" s="209">
        <v>6.59</v>
      </c>
      <c r="AM23" s="209">
        <v>6.65</v>
      </c>
      <c r="AN23" s="209">
        <v>6.71</v>
      </c>
    </row>
    <row r="24" spans="1:40">
      <c r="A24" s="3" t="s">
        <v>620</v>
      </c>
      <c r="B24" s="3" t="s">
        <v>621</v>
      </c>
      <c r="C24" s="3">
        <v>15</v>
      </c>
      <c r="D24" s="3" t="s">
        <v>541</v>
      </c>
      <c r="E24" s="209">
        <v>2.5899999</v>
      </c>
      <c r="F24" s="209">
        <v>2.7299999000000001</v>
      </c>
      <c r="G24" s="209">
        <v>2.87</v>
      </c>
      <c r="H24" s="209">
        <v>3.01</v>
      </c>
      <c r="I24" s="209">
        <v>3.15</v>
      </c>
      <c r="J24" s="209">
        <v>3.29</v>
      </c>
      <c r="K24" s="209">
        <v>3.43</v>
      </c>
      <c r="L24" s="209">
        <v>3.57</v>
      </c>
      <c r="M24" s="209">
        <v>3.7100000999999998</v>
      </c>
      <c r="N24" s="209">
        <v>3.8500000999999999</v>
      </c>
      <c r="O24" s="209">
        <v>3.9900001</v>
      </c>
      <c r="P24" s="209">
        <v>4.1300001000000002</v>
      </c>
      <c r="Q24" s="209">
        <v>4.2210001000000004</v>
      </c>
      <c r="R24" s="209">
        <v>4.3120000999999997</v>
      </c>
      <c r="S24" s="209">
        <v>4.4030000999999999</v>
      </c>
      <c r="T24" s="209">
        <v>4.4940001000000001</v>
      </c>
      <c r="U24" s="209">
        <v>4.585</v>
      </c>
      <c r="V24" s="209">
        <v>4.6760000000000002</v>
      </c>
      <c r="W24" s="209">
        <v>4.7670000000000003</v>
      </c>
      <c r="X24" s="209">
        <v>4.8579999999999997</v>
      </c>
      <c r="Y24" s="209">
        <v>4.9489999999999998</v>
      </c>
      <c r="Z24" s="209">
        <v>5.04</v>
      </c>
      <c r="AA24" s="209">
        <v>5.1311111</v>
      </c>
      <c r="AB24" s="209">
        <v>5.2222222</v>
      </c>
      <c r="AC24" s="209">
        <v>5.3133334000000003</v>
      </c>
      <c r="AD24" s="209">
        <v>5.4044445000000003</v>
      </c>
      <c r="AE24" s="209">
        <v>5.4955556000000003</v>
      </c>
      <c r="AF24" s="209">
        <v>5.5866667000000003</v>
      </c>
      <c r="AG24" s="209">
        <v>5.6777778999999997</v>
      </c>
      <c r="AH24" s="209">
        <v>5.7688889999999997</v>
      </c>
      <c r="AI24" s="209">
        <v>5.8600000999999997</v>
      </c>
      <c r="AJ24" s="209">
        <v>5.9580000999999996</v>
      </c>
      <c r="AK24" s="209">
        <v>6.056</v>
      </c>
      <c r="AL24" s="209">
        <v>6.1539999999999999</v>
      </c>
      <c r="AM24" s="209">
        <v>6.2519999999999998</v>
      </c>
      <c r="AN24" s="209">
        <v>6.3499999000000003</v>
      </c>
    </row>
    <row r="25" spans="1:40">
      <c r="A25" s="3" t="s">
        <v>841</v>
      </c>
      <c r="B25" s="3" t="s">
        <v>659</v>
      </c>
      <c r="C25" s="3">
        <v>19</v>
      </c>
      <c r="D25" s="3" t="s">
        <v>713</v>
      </c>
      <c r="E25" s="209">
        <v>2.79</v>
      </c>
      <c r="F25" s="209">
        <v>2.8754545</v>
      </c>
      <c r="G25" s="209">
        <v>2.9609090999999998</v>
      </c>
      <c r="H25" s="209">
        <v>3.0463635999999998</v>
      </c>
      <c r="I25" s="209">
        <v>3.1318182000000001</v>
      </c>
      <c r="J25" s="209">
        <v>3.2172727000000001</v>
      </c>
      <c r="K25" s="209">
        <v>3.3027272999999999</v>
      </c>
      <c r="L25" s="209">
        <v>3.3881817999999999</v>
      </c>
      <c r="M25" s="209">
        <v>3.4736364000000002</v>
      </c>
      <c r="N25" s="209">
        <v>3.5590909000000002</v>
      </c>
      <c r="O25" s="209">
        <v>3.6445455</v>
      </c>
      <c r="P25" s="209">
        <v>3.73</v>
      </c>
      <c r="Q25" s="209">
        <v>3.8359999999999999</v>
      </c>
      <c r="R25" s="209">
        <v>3.9420000000000002</v>
      </c>
      <c r="S25" s="209">
        <v>4.048</v>
      </c>
      <c r="T25" s="209">
        <v>4.1539999999999999</v>
      </c>
      <c r="U25" s="209">
        <v>4.26</v>
      </c>
      <c r="V25" s="209">
        <v>4.3659999999999997</v>
      </c>
      <c r="W25" s="209">
        <v>4.4720000000000004</v>
      </c>
      <c r="X25" s="209">
        <v>4.5780000000000003</v>
      </c>
      <c r="Y25" s="209">
        <v>4.6840000000000002</v>
      </c>
      <c r="Z25" s="209">
        <v>4.79</v>
      </c>
      <c r="AA25" s="209">
        <v>4.8833333000000003</v>
      </c>
      <c r="AB25" s="209">
        <v>4.9766667</v>
      </c>
      <c r="AC25" s="209">
        <v>5.07</v>
      </c>
      <c r="AD25" s="209">
        <v>5.1633334</v>
      </c>
      <c r="AE25" s="209">
        <v>5.2566667000000002</v>
      </c>
      <c r="AF25" s="209">
        <v>5.3500000999999999</v>
      </c>
      <c r="AG25" s="209">
        <v>5.4433334000000002</v>
      </c>
      <c r="AH25" s="209">
        <v>5.5366667999999999</v>
      </c>
      <c r="AI25" s="209">
        <v>5.6300001000000002</v>
      </c>
      <c r="AJ25" s="209">
        <v>5.7320000999999996</v>
      </c>
      <c r="AK25" s="209">
        <v>5.8339999999999996</v>
      </c>
      <c r="AL25" s="209">
        <v>5.9359999999999999</v>
      </c>
      <c r="AM25" s="209">
        <v>6.0379999</v>
      </c>
      <c r="AN25" s="209">
        <v>6.1399999000000003</v>
      </c>
    </row>
    <row r="26" spans="1:40">
      <c r="A26" s="3" t="s">
        <v>718</v>
      </c>
      <c r="B26" s="3" t="s">
        <v>719</v>
      </c>
      <c r="C26" s="3">
        <v>12</v>
      </c>
      <c r="D26" s="3" t="s">
        <v>664</v>
      </c>
      <c r="E26" s="209">
        <v>1.83</v>
      </c>
      <c r="F26" s="209">
        <v>1.8872728000000001</v>
      </c>
      <c r="G26" s="209">
        <v>1.9445455</v>
      </c>
      <c r="H26" s="209">
        <v>2.0018182000000002</v>
      </c>
      <c r="I26" s="209">
        <v>2.059091</v>
      </c>
      <c r="J26" s="209">
        <v>2.1163637</v>
      </c>
      <c r="K26" s="209">
        <v>2.1736363999999999</v>
      </c>
      <c r="L26" s="209">
        <v>2.2309090999999999</v>
      </c>
      <c r="M26" s="209">
        <v>2.2881819000000001</v>
      </c>
      <c r="N26" s="209">
        <v>2.3454546000000001</v>
      </c>
      <c r="O26" s="209">
        <v>2.4027273</v>
      </c>
      <c r="P26" s="209">
        <v>2.46</v>
      </c>
      <c r="Q26" s="209">
        <v>2.5369999999999999</v>
      </c>
      <c r="R26" s="209">
        <v>2.6139999999999999</v>
      </c>
      <c r="S26" s="209">
        <v>2.6909999999999998</v>
      </c>
      <c r="T26" s="209">
        <v>2.7679999999999998</v>
      </c>
      <c r="U26" s="209">
        <v>2.8450000000000002</v>
      </c>
      <c r="V26" s="209">
        <v>2.9220000000000002</v>
      </c>
      <c r="W26" s="209">
        <v>2.9990000000000001</v>
      </c>
      <c r="X26" s="209">
        <v>3.0760000000000001</v>
      </c>
      <c r="Y26" s="209">
        <v>3.153</v>
      </c>
      <c r="Z26" s="209">
        <v>3.23</v>
      </c>
      <c r="AA26" s="209">
        <v>3.2844445000000002</v>
      </c>
      <c r="AB26" s="209">
        <v>3.3388889000000002</v>
      </c>
      <c r="AC26" s="209">
        <v>3.3933333999999999</v>
      </c>
      <c r="AD26" s="209">
        <v>3.4477777999999999</v>
      </c>
      <c r="AE26" s="209">
        <v>3.5022221999999998</v>
      </c>
      <c r="AF26" s="209">
        <v>3.5566667000000001</v>
      </c>
      <c r="AG26" s="209">
        <v>3.6111111</v>
      </c>
      <c r="AH26" s="209">
        <v>3.6655555999999998</v>
      </c>
      <c r="AI26" s="209">
        <v>3.72</v>
      </c>
      <c r="AJ26" s="209">
        <v>3.7780000999999999</v>
      </c>
      <c r="AK26" s="209">
        <v>3.8360001000000001</v>
      </c>
      <c r="AL26" s="209">
        <v>3.8940001</v>
      </c>
      <c r="AM26" s="209">
        <v>3.9520002000000001</v>
      </c>
      <c r="AN26" s="209">
        <v>4.0100002000000003</v>
      </c>
    </row>
    <row r="27" spans="1:40">
      <c r="A27" s="3" t="s">
        <v>669</v>
      </c>
      <c r="B27" s="3" t="s">
        <v>663</v>
      </c>
      <c r="C27" s="3">
        <v>3</v>
      </c>
      <c r="D27" s="3" t="s">
        <v>664</v>
      </c>
      <c r="E27" s="209">
        <v>2.02</v>
      </c>
      <c r="F27" s="209">
        <v>2.0709091000000002</v>
      </c>
      <c r="G27" s="209">
        <v>2.1218181999999999</v>
      </c>
      <c r="H27" s="209">
        <v>2.1727272000000002</v>
      </c>
      <c r="I27" s="209">
        <v>2.2236362999999999</v>
      </c>
      <c r="J27" s="209">
        <v>2.2745454000000001</v>
      </c>
      <c r="K27" s="209">
        <v>2.3254545000000002</v>
      </c>
      <c r="L27" s="209">
        <v>2.3763635999999999</v>
      </c>
      <c r="M27" s="209">
        <v>2.4272727000000001</v>
      </c>
      <c r="N27" s="209">
        <v>2.4781818000000002</v>
      </c>
      <c r="O27" s="209">
        <v>2.5290908000000001</v>
      </c>
      <c r="P27" s="209">
        <v>2.5799998999999998</v>
      </c>
      <c r="Q27" s="209">
        <v>2.6479998999999999</v>
      </c>
      <c r="R27" s="209">
        <v>2.7159998999999999</v>
      </c>
      <c r="S27" s="209">
        <v>2.7839999</v>
      </c>
      <c r="T27" s="209">
        <v>2.8519999999999999</v>
      </c>
      <c r="U27" s="209">
        <v>2.92</v>
      </c>
      <c r="V27" s="209">
        <v>2.988</v>
      </c>
      <c r="W27" s="209">
        <v>3.056</v>
      </c>
      <c r="X27" s="209">
        <v>3.1240000000000001</v>
      </c>
      <c r="Y27" s="209">
        <v>3.1920000000000002</v>
      </c>
      <c r="Z27" s="209">
        <v>3.26</v>
      </c>
      <c r="AA27" s="209">
        <v>3.2955554999999999</v>
      </c>
      <c r="AB27" s="209">
        <v>3.3311111000000002</v>
      </c>
      <c r="AC27" s="209">
        <v>3.3666665999999998</v>
      </c>
      <c r="AD27" s="209">
        <v>3.4022222000000002</v>
      </c>
      <c r="AE27" s="209">
        <v>3.4377776999999998</v>
      </c>
      <c r="AF27" s="209">
        <v>3.4733333000000002</v>
      </c>
      <c r="AG27" s="209">
        <v>3.5088887999999998</v>
      </c>
      <c r="AH27" s="209">
        <v>3.5444444000000002</v>
      </c>
      <c r="AI27" s="209">
        <v>3.5799998999999998</v>
      </c>
      <c r="AJ27" s="209">
        <v>3.6179999</v>
      </c>
      <c r="AK27" s="209">
        <v>3.6559998999999999</v>
      </c>
      <c r="AL27" s="209">
        <v>3.694</v>
      </c>
      <c r="AM27" s="209">
        <v>3.7320000000000002</v>
      </c>
      <c r="AN27" s="209">
        <v>3.77</v>
      </c>
    </row>
    <row r="28" spans="1:40">
      <c r="A28" s="3" t="s">
        <v>622</v>
      </c>
      <c r="B28" s="3" t="s">
        <v>925</v>
      </c>
      <c r="C28" s="3">
        <v>16</v>
      </c>
      <c r="D28" s="3" t="s">
        <v>541</v>
      </c>
      <c r="E28" s="209">
        <v>1.89</v>
      </c>
      <c r="F28" s="209">
        <v>1.9454545000000001</v>
      </c>
      <c r="G28" s="209">
        <v>2.0009090999999999</v>
      </c>
      <c r="H28" s="209">
        <v>2.0563636000000001</v>
      </c>
      <c r="I28" s="209">
        <v>2.1118182000000001</v>
      </c>
      <c r="J28" s="209">
        <v>2.1672726999999998</v>
      </c>
      <c r="K28" s="209">
        <v>2.2227272999999999</v>
      </c>
      <c r="L28" s="209">
        <v>2.2781818</v>
      </c>
      <c r="M28" s="209">
        <v>2.3336364000000001</v>
      </c>
      <c r="N28" s="209">
        <v>2.3890908999999998</v>
      </c>
      <c r="O28" s="209">
        <v>2.4445454999999998</v>
      </c>
      <c r="P28" s="209">
        <v>2.5</v>
      </c>
      <c r="Q28" s="209">
        <v>2.5219999999999998</v>
      </c>
      <c r="R28" s="209">
        <v>2.544</v>
      </c>
      <c r="S28" s="209">
        <v>2.5659999999999998</v>
      </c>
      <c r="T28" s="209">
        <v>2.5880000000000001</v>
      </c>
      <c r="U28" s="209">
        <v>2.61</v>
      </c>
      <c r="V28" s="209">
        <v>2.6320000000000001</v>
      </c>
      <c r="W28" s="209">
        <v>2.6539999999999999</v>
      </c>
      <c r="X28" s="209">
        <v>2.6760000000000002</v>
      </c>
      <c r="Y28" s="209">
        <v>2.698</v>
      </c>
      <c r="Z28" s="209">
        <v>2.72</v>
      </c>
      <c r="AA28" s="209">
        <v>2.7677778000000002</v>
      </c>
      <c r="AB28" s="209">
        <v>2.8155556000000002</v>
      </c>
      <c r="AC28" s="209">
        <v>2.8633334000000001</v>
      </c>
      <c r="AD28" s="209">
        <v>2.9111112000000001</v>
      </c>
      <c r="AE28" s="209">
        <v>2.9588890000000001</v>
      </c>
      <c r="AF28" s="209">
        <v>3.0066666999999998</v>
      </c>
      <c r="AG28" s="209">
        <v>3.0544444999999998</v>
      </c>
      <c r="AH28" s="209">
        <v>3.1022223000000002</v>
      </c>
      <c r="AI28" s="209">
        <v>3.1500001000000002</v>
      </c>
      <c r="AJ28" s="209">
        <v>3.2000001</v>
      </c>
      <c r="AK28" s="209">
        <v>3.2500000999999998</v>
      </c>
      <c r="AL28" s="209">
        <v>3.3000001000000001</v>
      </c>
      <c r="AM28" s="209">
        <v>3.3500000999999999</v>
      </c>
      <c r="AN28" s="209">
        <v>3.4000001000000002</v>
      </c>
    </row>
    <row r="29" spans="1:40">
      <c r="A29" s="3" t="s">
        <v>539</v>
      </c>
      <c r="B29" s="3" t="s">
        <v>540</v>
      </c>
      <c r="C29" s="3">
        <v>5</v>
      </c>
      <c r="D29" s="3" t="s">
        <v>541</v>
      </c>
      <c r="E29" s="209">
        <v>1.17</v>
      </c>
      <c r="F29" s="209">
        <v>1.2081818</v>
      </c>
      <c r="G29" s="209">
        <v>1.2463636</v>
      </c>
      <c r="H29" s="209">
        <v>1.2845454000000001</v>
      </c>
      <c r="I29" s="209">
        <v>1.3227272999999999</v>
      </c>
      <c r="J29" s="209">
        <v>1.3609091</v>
      </c>
      <c r="K29" s="209">
        <v>1.3990909</v>
      </c>
      <c r="L29" s="209">
        <v>1.4372727000000001</v>
      </c>
      <c r="M29" s="209">
        <v>1.4754545999999999</v>
      </c>
      <c r="N29" s="209">
        <v>1.5136364</v>
      </c>
      <c r="O29" s="209">
        <v>1.5518182</v>
      </c>
      <c r="P29" s="209">
        <v>1.59</v>
      </c>
      <c r="Q29" s="209">
        <v>1.615</v>
      </c>
      <c r="R29" s="209">
        <v>1.64</v>
      </c>
      <c r="S29" s="209">
        <v>1.665</v>
      </c>
      <c r="T29" s="209">
        <v>1.69</v>
      </c>
      <c r="U29" s="209">
        <v>1.7150000000000001</v>
      </c>
      <c r="V29" s="209">
        <v>1.74</v>
      </c>
      <c r="W29" s="209">
        <v>1.7649999999999999</v>
      </c>
      <c r="X29" s="209">
        <v>1.79</v>
      </c>
      <c r="Y29" s="209">
        <v>1.8149999999999999</v>
      </c>
      <c r="Z29" s="209">
        <v>1.84</v>
      </c>
      <c r="AA29" s="209">
        <v>1.8877778000000001</v>
      </c>
      <c r="AB29" s="209">
        <v>1.9355556</v>
      </c>
      <c r="AC29" s="209">
        <v>1.9833333</v>
      </c>
      <c r="AD29" s="209">
        <v>2.0311110999999999</v>
      </c>
      <c r="AE29" s="209">
        <v>2.0788888999999999</v>
      </c>
      <c r="AF29" s="209">
        <v>2.1266666999999999</v>
      </c>
      <c r="AG29" s="209">
        <v>2.1744444000000001</v>
      </c>
      <c r="AH29" s="209">
        <v>2.2222222</v>
      </c>
      <c r="AI29" s="209">
        <v>2.27</v>
      </c>
      <c r="AJ29" s="209">
        <v>2.3220000000000001</v>
      </c>
      <c r="AK29" s="209">
        <v>2.3740000000000001</v>
      </c>
      <c r="AL29" s="209">
        <v>2.4260000000000002</v>
      </c>
      <c r="AM29" s="209">
        <v>2.4780000000000002</v>
      </c>
      <c r="AN29" s="209">
        <v>2.5299999999999998</v>
      </c>
    </row>
    <row r="30" spans="1:40">
      <c r="A30" s="3" t="s">
        <v>716</v>
      </c>
      <c r="B30" s="3" t="s">
        <v>717</v>
      </c>
      <c r="C30" s="3">
        <v>11</v>
      </c>
      <c r="D30" s="3" t="s">
        <v>541</v>
      </c>
      <c r="E30" s="209">
        <v>1.45</v>
      </c>
      <c r="F30" s="209">
        <v>1.4827273000000001</v>
      </c>
      <c r="G30" s="209">
        <v>1.5154546</v>
      </c>
      <c r="H30" s="209">
        <v>1.5481818000000001</v>
      </c>
      <c r="I30" s="209">
        <v>1.5809091</v>
      </c>
      <c r="J30" s="209">
        <v>1.6136364000000001</v>
      </c>
      <c r="K30" s="209">
        <v>1.6463635999999999</v>
      </c>
      <c r="L30" s="209">
        <v>1.6790909000000001</v>
      </c>
      <c r="M30" s="209">
        <v>1.7118182</v>
      </c>
      <c r="N30" s="209">
        <v>1.7445454</v>
      </c>
      <c r="O30" s="209">
        <v>1.7772726999999999</v>
      </c>
      <c r="P30" s="209">
        <v>1.8099999</v>
      </c>
      <c r="Q30" s="209">
        <v>1.8379999</v>
      </c>
      <c r="R30" s="209">
        <v>1.8659999</v>
      </c>
      <c r="S30" s="209">
        <v>1.8939999000000001</v>
      </c>
      <c r="T30" s="209">
        <v>1.9219999000000001</v>
      </c>
      <c r="U30" s="209">
        <v>1.9499998999999999</v>
      </c>
      <c r="V30" s="209">
        <v>1.9779998999999999</v>
      </c>
      <c r="W30" s="209">
        <v>2.0059998999999999</v>
      </c>
      <c r="X30" s="209">
        <v>2.0339999</v>
      </c>
      <c r="Y30" s="209">
        <v>2.0619999</v>
      </c>
      <c r="Z30" s="209">
        <v>2.0899999</v>
      </c>
      <c r="AA30" s="209">
        <v>2.1044444000000002</v>
      </c>
      <c r="AB30" s="209">
        <v>2.1188888000000001</v>
      </c>
      <c r="AC30" s="209">
        <v>2.1333332999999999</v>
      </c>
      <c r="AD30" s="209">
        <v>2.1477776999999998</v>
      </c>
      <c r="AE30" s="209">
        <v>2.1622222</v>
      </c>
      <c r="AF30" s="209">
        <v>2.1766667000000002</v>
      </c>
      <c r="AG30" s="209">
        <v>2.1911111000000001</v>
      </c>
      <c r="AH30" s="209">
        <v>2.2055555999999998</v>
      </c>
      <c r="AI30" s="209">
        <v>2.2200000000000002</v>
      </c>
      <c r="AJ30" s="209">
        <v>2.2360000000000002</v>
      </c>
      <c r="AK30" s="209">
        <v>2.2519999999999998</v>
      </c>
      <c r="AL30" s="209">
        <v>2.2679999999999998</v>
      </c>
      <c r="AM30" s="209">
        <v>2.2839999999999998</v>
      </c>
      <c r="AN30" s="209">
        <v>2.2999999999999998</v>
      </c>
    </row>
    <row r="31" spans="1:40">
      <c r="A31" s="3" t="s">
        <v>660</v>
      </c>
      <c r="B31" s="3" t="s">
        <v>661</v>
      </c>
      <c r="C31" s="3">
        <v>20</v>
      </c>
      <c r="D31" s="3" t="s">
        <v>541</v>
      </c>
      <c r="E31" s="209">
        <v>0.47</v>
      </c>
      <c r="F31" s="209">
        <v>0.48727272999999999</v>
      </c>
      <c r="G31" s="209">
        <v>0.50454546</v>
      </c>
      <c r="H31" s="209">
        <v>0.52181818999999996</v>
      </c>
      <c r="I31" s="209">
        <v>0.53909092000000003</v>
      </c>
      <c r="J31" s="209">
        <v>0.55636364999999999</v>
      </c>
      <c r="K31" s="209">
        <v>0.57363637999999995</v>
      </c>
      <c r="L31" s="209">
        <v>0.59090911000000002</v>
      </c>
      <c r="M31" s="209">
        <v>0.60818183999999997</v>
      </c>
      <c r="N31" s="209">
        <v>0.62545457000000004</v>
      </c>
      <c r="O31" s="209">
        <v>0.6427273</v>
      </c>
      <c r="P31" s="209">
        <v>0.66000002999999996</v>
      </c>
      <c r="Q31" s="209">
        <v>0.67500002000000003</v>
      </c>
      <c r="R31" s="209">
        <v>0.69000002000000005</v>
      </c>
      <c r="S31" s="209">
        <v>0.70500001999999995</v>
      </c>
      <c r="T31" s="209">
        <v>0.72000001999999996</v>
      </c>
      <c r="U31" s="209">
        <v>0.73500001000000004</v>
      </c>
      <c r="V31" s="209">
        <v>0.75000001000000005</v>
      </c>
      <c r="W31" s="209">
        <v>0.76500000999999995</v>
      </c>
      <c r="X31" s="209">
        <v>0.78000000999999997</v>
      </c>
      <c r="Y31" s="209">
        <v>0.79500000000000004</v>
      </c>
      <c r="Z31" s="209">
        <v>0.81</v>
      </c>
      <c r="AA31" s="209">
        <v>0.84444445000000001</v>
      </c>
      <c r="AB31" s="209">
        <v>0.87888889000000003</v>
      </c>
      <c r="AC31" s="209">
        <v>0.91333333999999999</v>
      </c>
      <c r="AD31" s="209">
        <v>0.94777778000000001</v>
      </c>
      <c r="AE31" s="209">
        <v>0.98222222999999997</v>
      </c>
      <c r="AF31" s="209">
        <v>1.0166667</v>
      </c>
      <c r="AG31" s="209">
        <v>1.0511111</v>
      </c>
      <c r="AH31" s="209">
        <v>1.0855556</v>
      </c>
      <c r="AI31" s="209">
        <v>1.1200000000000001</v>
      </c>
      <c r="AJ31" s="209">
        <v>1.1619999999999999</v>
      </c>
      <c r="AK31" s="209">
        <v>1.204</v>
      </c>
      <c r="AL31" s="209">
        <v>1.246</v>
      </c>
      <c r="AM31" s="209">
        <v>1.288</v>
      </c>
      <c r="AN31" s="209">
        <v>1.33</v>
      </c>
    </row>
    <row r="32" spans="1:40">
      <c r="A32" s="3" t="s">
        <v>723</v>
      </c>
      <c r="B32" s="3" t="s">
        <v>724</v>
      </c>
      <c r="C32" s="3">
        <v>23</v>
      </c>
      <c r="D32" s="3" t="s">
        <v>541</v>
      </c>
      <c r="E32" s="209">
        <v>2.9770000000000001E-5</v>
      </c>
      <c r="F32" s="209">
        <v>6.3907E-3</v>
      </c>
      <c r="G32" s="209">
        <v>1.275163E-2</v>
      </c>
      <c r="H32" s="209">
        <v>1.9112560000000001E-2</v>
      </c>
      <c r="I32" s="209">
        <v>2.5473490000000001E-2</v>
      </c>
      <c r="J32" s="209">
        <v>3.1834420000000002E-2</v>
      </c>
      <c r="K32" s="209">
        <v>3.8195350000000003E-2</v>
      </c>
      <c r="L32" s="209">
        <v>4.4556279999999997E-2</v>
      </c>
      <c r="M32" s="209">
        <v>5.0917209999999997E-2</v>
      </c>
      <c r="N32" s="209">
        <v>5.7278139999999998E-2</v>
      </c>
      <c r="O32" s="209">
        <v>6.3639070000000006E-2</v>
      </c>
      <c r="P32" s="209">
        <v>7.0000000000000007E-2</v>
      </c>
      <c r="Q32" s="209">
        <v>7.2999999999999995E-2</v>
      </c>
      <c r="R32" s="209">
        <v>7.5999999999999998E-2</v>
      </c>
      <c r="S32" s="209">
        <v>7.9000000000000001E-2</v>
      </c>
      <c r="T32" s="209">
        <v>8.2000000000000003E-2</v>
      </c>
      <c r="U32" s="209">
        <v>8.5000000000000006E-2</v>
      </c>
      <c r="V32" s="209">
        <v>8.7999999999999995E-2</v>
      </c>
      <c r="W32" s="209">
        <v>9.0999999999999998E-2</v>
      </c>
      <c r="X32" s="209">
        <v>9.4E-2</v>
      </c>
      <c r="Y32" s="209">
        <v>9.7000000000000003E-2</v>
      </c>
      <c r="Z32" s="209">
        <v>0.1</v>
      </c>
      <c r="AA32" s="209">
        <v>0.10333333</v>
      </c>
      <c r="AB32" s="209">
        <v>0.10666667000000001</v>
      </c>
      <c r="AC32" s="209">
        <v>0.11</v>
      </c>
      <c r="AD32" s="209">
        <v>0.11333333</v>
      </c>
      <c r="AE32" s="209">
        <v>0.11666666000000001</v>
      </c>
      <c r="AF32" s="209">
        <v>0.12</v>
      </c>
      <c r="AG32" s="209">
        <v>0.12333333</v>
      </c>
      <c r="AH32" s="209">
        <v>0.12666665999999999</v>
      </c>
      <c r="AI32" s="209">
        <v>0.13</v>
      </c>
      <c r="AJ32" s="209">
        <v>0.13400000000000001</v>
      </c>
      <c r="AK32" s="209">
        <v>0.13800000000000001</v>
      </c>
      <c r="AL32" s="209">
        <v>0.14199999999999999</v>
      </c>
      <c r="AM32" s="209">
        <v>0.14599999999999999</v>
      </c>
      <c r="AN32" s="209">
        <v>0.15000000999999999</v>
      </c>
    </row>
    <row r="33" spans="1:40">
      <c r="A33" s="3"/>
      <c r="B33" s="3"/>
      <c r="C33" s="3"/>
      <c r="D33" s="3"/>
      <c r="E33" s="73"/>
      <c r="F33" s="204"/>
      <c r="G33" s="204"/>
      <c r="H33" s="204"/>
      <c r="I33" s="204"/>
      <c r="J33" s="204"/>
      <c r="K33" s="204"/>
      <c r="L33" s="204"/>
      <c r="M33" s="204"/>
      <c r="N33" s="204"/>
      <c r="O33" s="204"/>
      <c r="P33" s="73"/>
      <c r="Q33" s="204"/>
      <c r="R33" s="204"/>
      <c r="S33" s="204"/>
      <c r="T33" s="204"/>
      <c r="U33" s="204"/>
      <c r="V33" s="204"/>
      <c r="W33" s="204"/>
      <c r="X33" s="204"/>
      <c r="Y33" s="204"/>
      <c r="Z33" s="73"/>
      <c r="AA33" s="204"/>
      <c r="AB33" s="204"/>
      <c r="AC33" s="204"/>
      <c r="AD33" s="204"/>
      <c r="AE33" s="204"/>
      <c r="AF33" s="204"/>
      <c r="AG33" s="204"/>
      <c r="AH33" s="204"/>
      <c r="AI33" s="73"/>
      <c r="AJ33" s="204"/>
      <c r="AK33" s="204"/>
      <c r="AL33" s="204"/>
      <c r="AM33" s="204"/>
      <c r="AN33" s="204"/>
    </row>
    <row r="34" spans="1:40">
      <c r="A34" s="3" t="s">
        <v>727</v>
      </c>
      <c r="B34" s="3"/>
      <c r="C34" s="3"/>
      <c r="D34" s="3"/>
      <c r="E34" s="102">
        <v>7.4611592054131384</v>
      </c>
      <c r="F34" s="204"/>
      <c r="G34" s="204"/>
      <c r="H34" s="204"/>
      <c r="I34" s="204"/>
      <c r="J34" s="204"/>
      <c r="K34" s="204"/>
      <c r="L34" s="204"/>
      <c r="M34" s="204"/>
      <c r="N34" s="204"/>
      <c r="O34" s="204"/>
      <c r="P34" s="102">
        <v>8.7067683182874944</v>
      </c>
      <c r="Q34" s="204"/>
      <c r="R34" s="204"/>
      <c r="S34" s="204"/>
      <c r="T34" s="204"/>
      <c r="U34" s="204"/>
      <c r="V34" s="204"/>
      <c r="W34" s="204"/>
      <c r="X34" s="204"/>
      <c r="Y34" s="204"/>
      <c r="Z34" s="102">
        <v>9.6797007579023688</v>
      </c>
      <c r="AA34" s="204"/>
      <c r="AB34" s="204"/>
      <c r="AC34" s="204"/>
      <c r="AD34" s="204"/>
      <c r="AE34" s="204"/>
      <c r="AF34" s="204"/>
      <c r="AG34" s="204"/>
      <c r="AH34" s="204"/>
      <c r="AI34" s="102">
        <v>10.709324113180015</v>
      </c>
      <c r="AJ34" s="204"/>
      <c r="AK34" s="204"/>
      <c r="AL34" s="204"/>
      <c r="AM34" s="204"/>
      <c r="AN34" s="204"/>
    </row>
    <row r="35" spans="1:40" ht="220">
      <c r="A35" s="208" t="s">
        <v>728</v>
      </c>
      <c r="B35" s="207"/>
      <c r="C35" s="207"/>
      <c r="D35" s="207"/>
      <c r="E35" s="7" t="s">
        <v>3286</v>
      </c>
      <c r="F35" s="1" t="s">
        <v>3323</v>
      </c>
      <c r="G35" s="1" t="s">
        <v>3323</v>
      </c>
      <c r="H35" s="1" t="s">
        <v>3323</v>
      </c>
      <c r="I35" s="1" t="s">
        <v>3323</v>
      </c>
      <c r="J35" s="1" t="s">
        <v>3323</v>
      </c>
      <c r="K35" s="1" t="s">
        <v>3323</v>
      </c>
      <c r="L35" s="1" t="s">
        <v>3323</v>
      </c>
      <c r="M35" s="1" t="s">
        <v>3323</v>
      </c>
      <c r="N35" s="1" t="s">
        <v>3323</v>
      </c>
      <c r="O35" s="1" t="s">
        <v>3323</v>
      </c>
      <c r="P35" s="7" t="s">
        <v>3286</v>
      </c>
      <c r="Q35" s="1" t="s">
        <v>3324</v>
      </c>
      <c r="R35" s="1" t="s">
        <v>3324</v>
      </c>
      <c r="S35" s="1" t="s">
        <v>3324</v>
      </c>
      <c r="T35" s="1" t="s">
        <v>3324</v>
      </c>
      <c r="U35" s="1" t="s">
        <v>3324</v>
      </c>
      <c r="V35" s="1" t="s">
        <v>3324</v>
      </c>
      <c r="W35" s="1" t="s">
        <v>3324</v>
      </c>
      <c r="X35" s="1" t="s">
        <v>3324</v>
      </c>
      <c r="Y35" s="1" t="s">
        <v>3324</v>
      </c>
      <c r="Z35" s="7" t="s">
        <v>3286</v>
      </c>
      <c r="AA35" s="1" t="s">
        <v>3325</v>
      </c>
      <c r="AB35" s="1" t="s">
        <v>3325</v>
      </c>
      <c r="AC35" s="1" t="s">
        <v>3325</v>
      </c>
      <c r="AD35" s="1" t="s">
        <v>3325</v>
      </c>
      <c r="AE35" s="1" t="s">
        <v>3325</v>
      </c>
      <c r="AF35" s="1" t="s">
        <v>3325</v>
      </c>
      <c r="AG35" s="1" t="s">
        <v>3325</v>
      </c>
      <c r="AH35" s="1" t="s">
        <v>3325</v>
      </c>
      <c r="AI35" s="7" t="s">
        <v>3286</v>
      </c>
      <c r="AJ35" s="1" t="s">
        <v>3326</v>
      </c>
      <c r="AK35" s="1" t="s">
        <v>3326</v>
      </c>
      <c r="AL35" s="1" t="s">
        <v>3326</v>
      </c>
      <c r="AM35" s="1" t="s">
        <v>3326</v>
      </c>
      <c r="AN35" s="1" t="s">
        <v>3327</v>
      </c>
    </row>
  </sheetData>
  <sortState ref="A9:AX32">
    <sortCondition descending="1" ref="AK9:AK32"/>
  </sortState>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2"/>
  <sheetViews>
    <sheetView workbookViewId="0"/>
  </sheetViews>
  <sheetFormatPr baseColWidth="10" defaultRowHeight="13" x14ac:dyDescent="0"/>
  <cols>
    <col min="1" max="1" width="15" customWidth="1"/>
    <col min="5" max="5" width="10.7109375" style="3"/>
    <col min="6" max="6" width="20.7109375" style="3" customWidth="1"/>
    <col min="7" max="8" width="10.7109375" style="41"/>
  </cols>
  <sheetData>
    <row r="1" spans="1:10">
      <c r="A1" s="184" t="s">
        <v>2404</v>
      </c>
    </row>
    <row r="2" spans="1:10">
      <c r="A2" s="1" t="s">
        <v>2013</v>
      </c>
      <c r="B2" s="1"/>
      <c r="C2" s="1"/>
      <c r="D2" s="1"/>
      <c r="E2" s="9" t="s">
        <v>1000</v>
      </c>
      <c r="F2" s="9" t="s">
        <v>1000</v>
      </c>
      <c r="G2" s="36" t="s">
        <v>1000</v>
      </c>
      <c r="H2" s="36" t="s">
        <v>1000</v>
      </c>
      <c r="I2" s="36" t="s">
        <v>3660</v>
      </c>
      <c r="J2" s="36" t="s">
        <v>3660</v>
      </c>
    </row>
    <row r="3" spans="1:10" ht="22">
      <c r="A3" s="1" t="s">
        <v>2014</v>
      </c>
      <c r="B3" s="1"/>
      <c r="C3" s="1"/>
      <c r="D3" s="1"/>
      <c r="E3" s="20" t="s">
        <v>1080</v>
      </c>
      <c r="F3" s="20" t="s">
        <v>1264</v>
      </c>
      <c r="G3" s="37" t="s">
        <v>1058</v>
      </c>
      <c r="H3" s="37" t="s">
        <v>1107</v>
      </c>
      <c r="I3" s="37" t="s">
        <v>3661</v>
      </c>
      <c r="J3" s="37" t="s">
        <v>3662</v>
      </c>
    </row>
    <row r="4" spans="1:10">
      <c r="A4" s="1" t="s">
        <v>2015</v>
      </c>
      <c r="B4" s="1"/>
      <c r="C4" s="1"/>
      <c r="D4" s="1"/>
      <c r="E4" s="1"/>
      <c r="F4" s="1"/>
      <c r="G4" s="37"/>
      <c r="H4" s="37"/>
    </row>
    <row r="5" spans="1:10">
      <c r="A5" s="1" t="s">
        <v>728</v>
      </c>
      <c r="B5" s="1"/>
      <c r="C5" s="1"/>
      <c r="D5" s="1"/>
      <c r="E5" s="20" t="s">
        <v>1021</v>
      </c>
      <c r="F5" s="20"/>
      <c r="G5" s="37"/>
      <c r="H5" s="37"/>
    </row>
    <row r="6" spans="1:10">
      <c r="A6" s="42" t="s">
        <v>2016</v>
      </c>
      <c r="B6" s="42"/>
      <c r="C6" s="42"/>
      <c r="D6" s="42"/>
      <c r="E6" s="42">
        <v>2001</v>
      </c>
      <c r="F6" s="42">
        <v>2010</v>
      </c>
      <c r="G6" s="42">
        <v>2010</v>
      </c>
      <c r="H6" s="42">
        <v>2010</v>
      </c>
      <c r="I6" s="42">
        <v>2015</v>
      </c>
      <c r="J6" s="42">
        <v>2015</v>
      </c>
    </row>
    <row r="7" spans="1:10" ht="77">
      <c r="A7" s="7" t="s">
        <v>3334</v>
      </c>
      <c r="B7" s="1"/>
      <c r="C7" s="1"/>
      <c r="D7" s="1"/>
      <c r="E7" s="20" t="s">
        <v>969</v>
      </c>
      <c r="F7" s="20" t="s">
        <v>1500</v>
      </c>
      <c r="G7" s="37" t="s">
        <v>1383</v>
      </c>
      <c r="H7" s="37" t="s">
        <v>1364</v>
      </c>
      <c r="I7" s="37" t="s">
        <v>3663</v>
      </c>
      <c r="J7" s="37" t="s">
        <v>3664</v>
      </c>
    </row>
    <row r="8" spans="1:10">
      <c r="A8" s="9" t="s">
        <v>2017</v>
      </c>
      <c r="B8" s="9" t="s">
        <v>770</v>
      </c>
      <c r="C8" s="9" t="s">
        <v>771</v>
      </c>
      <c r="D8" s="9" t="s">
        <v>772</v>
      </c>
      <c r="E8" s="23" t="s">
        <v>1108</v>
      </c>
      <c r="F8" s="23" t="s">
        <v>1265</v>
      </c>
      <c r="G8" s="36" t="s">
        <v>1267</v>
      </c>
      <c r="H8" s="36" t="s">
        <v>1266</v>
      </c>
      <c r="I8" s="36" t="s">
        <v>3665</v>
      </c>
      <c r="J8" s="36" t="s">
        <v>3666</v>
      </c>
    </row>
    <row r="9" spans="1:10">
      <c r="A9" s="11" t="s">
        <v>850</v>
      </c>
      <c r="B9" s="11" t="s">
        <v>851</v>
      </c>
      <c r="C9" s="11">
        <v>1</v>
      </c>
      <c r="D9" s="11" t="s">
        <v>759</v>
      </c>
      <c r="E9" s="77">
        <v>307571</v>
      </c>
      <c r="F9" s="29" t="s">
        <v>1059</v>
      </c>
      <c r="G9" s="38">
        <v>-34.930999999999997</v>
      </c>
      <c r="H9" s="38">
        <v>-57.948999999999998</v>
      </c>
      <c r="I9" s="38">
        <v>-36.683529999999998</v>
      </c>
      <c r="J9" s="38">
        <v>-60.565980000000003</v>
      </c>
    </row>
    <row r="10" spans="1:10">
      <c r="A10" s="11" t="s">
        <v>667</v>
      </c>
      <c r="B10" s="11" t="s">
        <v>668</v>
      </c>
      <c r="C10" s="11">
        <v>2</v>
      </c>
      <c r="D10" s="11" t="s">
        <v>759</v>
      </c>
      <c r="E10" s="77">
        <v>200</v>
      </c>
      <c r="F10" s="29" t="s">
        <v>1060</v>
      </c>
      <c r="G10" s="38">
        <v>-34.613</v>
      </c>
      <c r="H10" s="38">
        <v>-58.47</v>
      </c>
      <c r="I10" s="38">
        <v>-34.617710000000002</v>
      </c>
      <c r="J10" s="38">
        <v>-58.444560000000003</v>
      </c>
    </row>
    <row r="11" spans="1:10">
      <c r="A11" s="11" t="s">
        <v>669</v>
      </c>
      <c r="B11" s="11" t="s">
        <v>663</v>
      </c>
      <c r="C11" s="11">
        <v>3</v>
      </c>
      <c r="D11" s="11" t="s">
        <v>664</v>
      </c>
      <c r="E11" s="77">
        <v>102602</v>
      </c>
      <c r="F11" s="29" t="s">
        <v>1143</v>
      </c>
      <c r="G11" s="38">
        <v>-28.466999999999999</v>
      </c>
      <c r="H11" s="38">
        <v>-65.783000000000001</v>
      </c>
      <c r="I11" s="38">
        <v>-27.332180000000001</v>
      </c>
      <c r="J11" s="38">
        <v>-66.952449999999999</v>
      </c>
    </row>
    <row r="12" spans="1:10">
      <c r="A12" s="11" t="s">
        <v>665</v>
      </c>
      <c r="B12" s="11" t="s">
        <v>640</v>
      </c>
      <c r="C12" s="11">
        <v>4</v>
      </c>
      <c r="D12" s="11" t="s">
        <v>641</v>
      </c>
      <c r="E12" s="77">
        <v>99633</v>
      </c>
      <c r="F12" s="29" t="s">
        <v>1276</v>
      </c>
      <c r="G12" s="38">
        <v>-27.45</v>
      </c>
      <c r="H12" s="38">
        <v>-58.982999999999997</v>
      </c>
      <c r="I12" s="38">
        <v>-26.387370000000001</v>
      </c>
      <c r="J12" s="38">
        <v>-60.766739999999999</v>
      </c>
    </row>
    <row r="13" spans="1:10">
      <c r="A13" s="11" t="s">
        <v>539</v>
      </c>
      <c r="B13" s="11" t="s">
        <v>540</v>
      </c>
      <c r="C13" s="11">
        <v>5</v>
      </c>
      <c r="D13" s="11" t="s">
        <v>541</v>
      </c>
      <c r="E13" s="77">
        <v>224686</v>
      </c>
      <c r="F13" s="29" t="s">
        <v>1121</v>
      </c>
      <c r="G13" s="38">
        <v>-43.3</v>
      </c>
      <c r="H13" s="38">
        <v>-65.099999999999994</v>
      </c>
      <c r="I13" s="38">
        <v>-43.789619999999999</v>
      </c>
      <c r="J13" s="38">
        <v>-68.523219999999995</v>
      </c>
    </row>
    <row r="14" spans="1:10">
      <c r="A14" s="11" t="s">
        <v>542</v>
      </c>
      <c r="B14" s="11" t="s">
        <v>543</v>
      </c>
      <c r="C14" s="11">
        <v>6</v>
      </c>
      <c r="D14" s="11" t="s">
        <v>759</v>
      </c>
      <c r="E14" s="77">
        <v>165321</v>
      </c>
      <c r="F14" s="3" t="s">
        <v>542</v>
      </c>
      <c r="G14" s="38">
        <v>-31.4</v>
      </c>
      <c r="H14" s="38">
        <v>-64.183000000000007</v>
      </c>
      <c r="I14" s="38">
        <v>-32.141219999999997</v>
      </c>
      <c r="J14" s="38">
        <v>-63.799550000000004</v>
      </c>
    </row>
    <row r="15" spans="1:10">
      <c r="A15" s="11" t="s">
        <v>628</v>
      </c>
      <c r="B15" s="11" t="s">
        <v>629</v>
      </c>
      <c r="C15" s="11">
        <v>7</v>
      </c>
      <c r="D15" s="11" t="s">
        <v>641</v>
      </c>
      <c r="E15" s="77">
        <v>88199</v>
      </c>
      <c r="F15" s="3" t="s">
        <v>628</v>
      </c>
      <c r="G15" s="38">
        <v>-27.466999999999999</v>
      </c>
      <c r="H15" s="38">
        <v>-58.832999999999998</v>
      </c>
      <c r="I15" s="38">
        <v>-28.776520000000001</v>
      </c>
      <c r="J15" s="38">
        <v>-57.805860000000003</v>
      </c>
    </row>
    <row r="16" spans="1:10">
      <c r="A16" s="11" t="s">
        <v>630</v>
      </c>
      <c r="B16" s="11" t="s">
        <v>631</v>
      </c>
      <c r="C16" s="11">
        <v>8</v>
      </c>
      <c r="D16" s="11" t="s">
        <v>759</v>
      </c>
      <c r="E16" s="77">
        <v>78781</v>
      </c>
      <c r="F16" s="29" t="s">
        <v>1122</v>
      </c>
      <c r="G16" s="38">
        <v>-31.733000000000001</v>
      </c>
      <c r="H16" s="38">
        <v>-60.533000000000001</v>
      </c>
      <c r="I16" s="38">
        <v>-32.046030000000002</v>
      </c>
      <c r="J16" s="38">
        <v>-59.207529999999998</v>
      </c>
    </row>
    <row r="17" spans="1:10">
      <c r="A17" s="11" t="s">
        <v>632</v>
      </c>
      <c r="B17" s="11" t="s">
        <v>633</v>
      </c>
      <c r="C17" s="11">
        <v>9</v>
      </c>
      <c r="D17" s="11" t="s">
        <v>641</v>
      </c>
      <c r="E17" s="77">
        <v>72066</v>
      </c>
      <c r="F17" s="29" t="s">
        <v>1123</v>
      </c>
      <c r="G17" s="38">
        <v>-26.183</v>
      </c>
      <c r="H17" s="38">
        <v>-58.183</v>
      </c>
      <c r="I17" s="38">
        <v>-24.89443</v>
      </c>
      <c r="J17" s="38">
        <v>-59.934339999999999</v>
      </c>
    </row>
    <row r="18" spans="1:10">
      <c r="A18" s="11" t="s">
        <v>634</v>
      </c>
      <c r="B18" s="11" t="s">
        <v>715</v>
      </c>
      <c r="C18" s="11">
        <v>10</v>
      </c>
      <c r="D18" s="11" t="s">
        <v>664</v>
      </c>
      <c r="E18" s="77">
        <v>53219</v>
      </c>
      <c r="F18" s="29" t="s">
        <v>2019</v>
      </c>
      <c r="G18" s="38">
        <v>-24.183</v>
      </c>
      <c r="H18" s="38">
        <v>-65.3</v>
      </c>
      <c r="I18" s="38">
        <v>-23.317460000000001</v>
      </c>
      <c r="J18" s="38">
        <v>-65.762190000000004</v>
      </c>
    </row>
    <row r="19" spans="1:10">
      <c r="A19" s="11" t="s">
        <v>716</v>
      </c>
      <c r="B19" s="11" t="s">
        <v>717</v>
      </c>
      <c r="C19" s="11">
        <v>11</v>
      </c>
      <c r="D19" s="11" t="s">
        <v>541</v>
      </c>
      <c r="E19" s="77">
        <v>143440</v>
      </c>
      <c r="F19" s="29" t="s">
        <v>1281</v>
      </c>
      <c r="G19" s="38">
        <v>-39.982999999999997</v>
      </c>
      <c r="H19" s="38">
        <v>-66.566999999999993</v>
      </c>
      <c r="I19" s="38">
        <v>-37.130310000000001</v>
      </c>
      <c r="J19" s="38">
        <v>-65.448340000000002</v>
      </c>
    </row>
    <row r="20" spans="1:10">
      <c r="A20" s="11" t="s">
        <v>718</v>
      </c>
      <c r="B20" s="11" t="s">
        <v>719</v>
      </c>
      <c r="C20" s="11">
        <v>12</v>
      </c>
      <c r="D20" s="11" t="s">
        <v>664</v>
      </c>
      <c r="E20" s="77">
        <v>89680</v>
      </c>
      <c r="F20" s="29" t="s">
        <v>1282</v>
      </c>
      <c r="G20" s="38">
        <v>-29.433</v>
      </c>
      <c r="H20" s="38">
        <v>-66.849999999999994</v>
      </c>
      <c r="I20" s="38">
        <v>-29.67989</v>
      </c>
      <c r="J20" s="38">
        <v>-67.178299999999993</v>
      </c>
    </row>
    <row r="21" spans="1:10">
      <c r="A21" s="11" t="s">
        <v>711</v>
      </c>
      <c r="B21" s="11" t="s">
        <v>712</v>
      </c>
      <c r="C21" s="11">
        <v>13</v>
      </c>
      <c r="D21" s="11" t="s">
        <v>713</v>
      </c>
      <c r="E21" s="77">
        <v>148827</v>
      </c>
      <c r="F21" s="29" t="s">
        <v>1283</v>
      </c>
      <c r="G21" s="38">
        <v>-32.883000000000003</v>
      </c>
      <c r="H21" s="38">
        <v>-68.816999999999993</v>
      </c>
      <c r="I21" s="38">
        <v>-34.62865</v>
      </c>
      <c r="J21" s="38">
        <v>-68.586690000000004</v>
      </c>
    </row>
    <row r="22" spans="1:10">
      <c r="A22" s="11" t="s">
        <v>714</v>
      </c>
      <c r="B22" s="11" t="s">
        <v>530</v>
      </c>
      <c r="C22" s="11">
        <v>14</v>
      </c>
      <c r="D22" s="11" t="s">
        <v>641</v>
      </c>
      <c r="E22" s="77">
        <v>29801</v>
      </c>
      <c r="F22" s="29" t="s">
        <v>1284</v>
      </c>
      <c r="G22" s="38">
        <v>-27.382999999999999</v>
      </c>
      <c r="H22" s="38">
        <v>-55.883000000000003</v>
      </c>
      <c r="I22" s="38">
        <v>-26.874880000000001</v>
      </c>
      <c r="J22" s="38">
        <v>-54.647289999999998</v>
      </c>
    </row>
    <row r="23" spans="1:10">
      <c r="A23" s="11" t="s">
        <v>620</v>
      </c>
      <c r="B23" s="11" t="s">
        <v>621</v>
      </c>
      <c r="C23" s="11">
        <v>15</v>
      </c>
      <c r="D23" s="11" t="s">
        <v>541</v>
      </c>
      <c r="E23" s="77">
        <v>94078</v>
      </c>
      <c r="F23" s="29" t="s">
        <v>1054</v>
      </c>
      <c r="G23" s="38">
        <v>-38.950000000000003</v>
      </c>
      <c r="H23" s="38">
        <v>-68.066999999999993</v>
      </c>
      <c r="I23" s="38">
        <v>-38.635620000000003</v>
      </c>
      <c r="J23" s="38">
        <v>-70.11797</v>
      </c>
    </row>
    <row r="24" spans="1:10">
      <c r="A24" s="11" t="s">
        <v>622</v>
      </c>
      <c r="B24" s="11" t="s">
        <v>925</v>
      </c>
      <c r="C24" s="11">
        <v>16</v>
      </c>
      <c r="D24" s="11" t="s">
        <v>541</v>
      </c>
      <c r="E24" s="77">
        <v>203013</v>
      </c>
      <c r="F24" s="29" t="s">
        <v>1142</v>
      </c>
      <c r="G24" s="38">
        <v>-40.799999999999997</v>
      </c>
      <c r="H24" s="38">
        <v>-63</v>
      </c>
      <c r="I24" s="38">
        <v>-40.40681</v>
      </c>
      <c r="J24" s="38">
        <v>-67.228999999999999</v>
      </c>
    </row>
    <row r="25" spans="1:10">
      <c r="A25" s="11" t="s">
        <v>926</v>
      </c>
      <c r="B25" s="11" t="s">
        <v>927</v>
      </c>
      <c r="C25" s="11">
        <v>17</v>
      </c>
      <c r="D25" s="11" t="s">
        <v>664</v>
      </c>
      <c r="E25" s="77">
        <v>155488</v>
      </c>
      <c r="F25" s="29" t="s">
        <v>1068</v>
      </c>
      <c r="G25" s="38">
        <v>-24.783000000000001</v>
      </c>
      <c r="H25" s="38">
        <v>-65.417000000000002</v>
      </c>
      <c r="I25" s="38">
        <v>-24.29609</v>
      </c>
      <c r="J25" s="38">
        <v>-64.819940000000003</v>
      </c>
    </row>
    <row r="26" spans="1:10">
      <c r="A26" s="11" t="s">
        <v>928</v>
      </c>
      <c r="B26" s="11" t="s">
        <v>929</v>
      </c>
      <c r="C26" s="11">
        <v>18</v>
      </c>
      <c r="D26" s="11" t="s">
        <v>713</v>
      </c>
      <c r="E26" s="77">
        <v>89651</v>
      </c>
      <c r="F26" s="3" t="s">
        <v>928</v>
      </c>
      <c r="G26" s="38">
        <v>-31.538</v>
      </c>
      <c r="H26" s="38">
        <v>-68.536000000000001</v>
      </c>
      <c r="I26" s="38">
        <v>-30.864239999999999</v>
      </c>
      <c r="J26" s="38">
        <v>-68.874949999999998</v>
      </c>
    </row>
    <row r="27" spans="1:10">
      <c r="A27" s="11" t="s">
        <v>841</v>
      </c>
      <c r="B27" s="11" t="s">
        <v>659</v>
      </c>
      <c r="C27" s="11">
        <v>19</v>
      </c>
      <c r="D27" s="11" t="s">
        <v>713</v>
      </c>
      <c r="E27" s="77">
        <v>76748</v>
      </c>
      <c r="F27" s="3" t="s">
        <v>841</v>
      </c>
      <c r="G27" s="38">
        <v>-33.299999999999997</v>
      </c>
      <c r="H27" s="38">
        <v>-66.349999999999994</v>
      </c>
      <c r="I27" s="38">
        <v>-33.767409999999998</v>
      </c>
      <c r="J27" s="38">
        <v>-66.029920000000004</v>
      </c>
    </row>
    <row r="28" spans="1:10">
      <c r="A28" s="11" t="s">
        <v>660</v>
      </c>
      <c r="B28" s="11" t="s">
        <v>661</v>
      </c>
      <c r="C28" s="11">
        <v>20</v>
      </c>
      <c r="D28" s="11" t="s">
        <v>541</v>
      </c>
      <c r="E28" s="77">
        <v>243943</v>
      </c>
      <c r="F28" s="29" t="s">
        <v>1069</v>
      </c>
      <c r="G28" s="38">
        <v>-51.633000000000003</v>
      </c>
      <c r="H28" s="38">
        <v>-69.216999999999999</v>
      </c>
      <c r="I28" s="38">
        <v>-48.812710000000003</v>
      </c>
      <c r="J28" s="38">
        <v>-69.94144</v>
      </c>
    </row>
    <row r="29" spans="1:10">
      <c r="A29" s="11" t="s">
        <v>2018</v>
      </c>
      <c r="B29" s="11" t="s">
        <v>747</v>
      </c>
      <c r="C29" s="11">
        <v>21</v>
      </c>
      <c r="D29" s="11" t="s">
        <v>759</v>
      </c>
      <c r="E29" s="77">
        <v>133007</v>
      </c>
      <c r="F29" s="3" t="s">
        <v>746</v>
      </c>
      <c r="G29" s="38">
        <v>-31.632999999999999</v>
      </c>
      <c r="H29" s="38">
        <v>-60.7</v>
      </c>
      <c r="I29" s="38">
        <v>-30.70354</v>
      </c>
      <c r="J29" s="38">
        <v>-60.950710000000001</v>
      </c>
    </row>
    <row r="30" spans="1:10">
      <c r="A30" s="11" t="s">
        <v>721</v>
      </c>
      <c r="B30" s="11" t="s">
        <v>722</v>
      </c>
      <c r="C30" s="11">
        <v>22</v>
      </c>
      <c r="D30" s="11" t="s">
        <v>664</v>
      </c>
      <c r="E30" s="77">
        <v>136351</v>
      </c>
      <c r="F30" s="3" t="s">
        <v>721</v>
      </c>
      <c r="G30" s="38">
        <v>-27.783000000000001</v>
      </c>
      <c r="H30" s="38">
        <v>-64.266999999999996</v>
      </c>
      <c r="I30" s="38">
        <v>-27.782229999999998</v>
      </c>
      <c r="J30" s="38">
        <v>-63.258479999999999</v>
      </c>
    </row>
    <row r="31" spans="1:10">
      <c r="A31" s="11" t="s">
        <v>723</v>
      </c>
      <c r="B31" s="11" t="s">
        <v>724</v>
      </c>
      <c r="C31" s="11">
        <v>23</v>
      </c>
      <c r="D31" s="11" t="s">
        <v>541</v>
      </c>
      <c r="E31" s="77">
        <v>21263</v>
      </c>
      <c r="F31" s="29" t="s">
        <v>1070</v>
      </c>
      <c r="G31" s="38">
        <v>-54.792000000000002</v>
      </c>
      <c r="H31" s="38">
        <v>-68.228999999999999</v>
      </c>
      <c r="I31" s="38">
        <v>-54.33202</v>
      </c>
      <c r="J31" s="38">
        <v>-67.401349999999994</v>
      </c>
    </row>
    <row r="32" spans="1:10">
      <c r="A32" s="11" t="s">
        <v>725</v>
      </c>
      <c r="B32" s="11" t="s">
        <v>726</v>
      </c>
      <c r="C32" s="11">
        <v>24</v>
      </c>
      <c r="D32" s="11" t="s">
        <v>664</v>
      </c>
      <c r="E32" s="77">
        <v>22524</v>
      </c>
      <c r="F32" s="29" t="s">
        <v>1071</v>
      </c>
      <c r="G32" s="38">
        <v>-26.817</v>
      </c>
      <c r="H32" s="38">
        <v>-65.209999999999994</v>
      </c>
      <c r="I32" s="38">
        <v>-26.9438</v>
      </c>
      <c r="J32" s="38">
        <v>-65.365719999999996</v>
      </c>
    </row>
    <row r="33" spans="1:10">
      <c r="A33" s="11"/>
      <c r="B33" s="11"/>
      <c r="C33" s="11"/>
      <c r="D33" s="11"/>
      <c r="E33" s="80"/>
      <c r="F33" s="24"/>
      <c r="G33" s="39"/>
      <c r="H33" s="39"/>
    </row>
    <row r="34" spans="1:10">
      <c r="A34" s="11" t="s">
        <v>727</v>
      </c>
      <c r="B34" s="11"/>
      <c r="C34" s="11"/>
      <c r="D34" s="11"/>
      <c r="E34" s="77">
        <v>2780092</v>
      </c>
      <c r="F34" s="29"/>
      <c r="G34" s="38"/>
      <c r="H34" s="38"/>
    </row>
    <row r="35" spans="1:10" ht="308">
      <c r="A35" s="1" t="s">
        <v>728</v>
      </c>
      <c r="B35" s="1"/>
      <c r="C35" s="1"/>
      <c r="D35" s="1"/>
      <c r="E35" s="7" t="s">
        <v>1019</v>
      </c>
      <c r="F35" s="7"/>
      <c r="G35" s="40" t="s">
        <v>1288</v>
      </c>
      <c r="H35" s="40" t="s">
        <v>1288</v>
      </c>
      <c r="I35" s="7" t="s">
        <v>3667</v>
      </c>
      <c r="J35" s="7" t="s">
        <v>3667</v>
      </c>
    </row>
    <row r="36" spans="1:10">
      <c r="A36" s="1"/>
      <c r="B36" s="1"/>
      <c r="C36" s="1"/>
      <c r="D36" s="1"/>
      <c r="E36" s="7"/>
      <c r="F36" s="7"/>
      <c r="G36" s="40"/>
      <c r="H36" s="40"/>
    </row>
    <row r="37" spans="1:10">
      <c r="A37" s="11"/>
      <c r="B37" s="11"/>
      <c r="C37" s="11"/>
      <c r="D37" s="11"/>
    </row>
    <row r="38" spans="1:10">
      <c r="A38" s="11"/>
      <c r="B38" s="11"/>
      <c r="C38" s="11"/>
      <c r="D38" s="11"/>
    </row>
    <row r="39" spans="1:10">
      <c r="A39" s="11"/>
      <c r="B39" s="11"/>
      <c r="C39" s="11"/>
      <c r="D39" s="11"/>
    </row>
    <row r="40" spans="1:10">
      <c r="A40" s="11"/>
      <c r="B40" s="11"/>
      <c r="C40" s="11"/>
      <c r="D40" s="11"/>
    </row>
    <row r="41" spans="1:10">
      <c r="A41" s="11"/>
      <c r="B41" s="11"/>
      <c r="C41" s="11"/>
      <c r="D41" s="11"/>
    </row>
    <row r="42" spans="1:10">
      <c r="A42" s="11"/>
      <c r="B42" s="11"/>
      <c r="C42" s="11"/>
      <c r="D42" s="11"/>
    </row>
    <row r="43" spans="1:10">
      <c r="A43" s="11"/>
      <c r="B43" s="11"/>
      <c r="C43" s="11"/>
      <c r="D43" s="11"/>
    </row>
    <row r="44" spans="1:10">
      <c r="A44" s="11"/>
      <c r="B44" s="11"/>
      <c r="C44" s="11"/>
      <c r="D44" s="11"/>
    </row>
    <row r="45" spans="1:10">
      <c r="A45" s="11"/>
      <c r="B45" s="11"/>
      <c r="C45" s="11"/>
      <c r="D45" s="11"/>
    </row>
    <row r="46" spans="1:10">
      <c r="A46" s="11"/>
      <c r="B46" s="11"/>
      <c r="C46" s="11"/>
      <c r="D46" s="11"/>
    </row>
    <row r="47" spans="1:10">
      <c r="A47" s="11"/>
      <c r="B47" s="11"/>
      <c r="C47" s="11"/>
      <c r="D47" s="11"/>
    </row>
    <row r="48" spans="1:10">
      <c r="A48" s="11"/>
      <c r="B48" s="11"/>
      <c r="C48" s="11"/>
      <c r="D48" s="11"/>
    </row>
    <row r="49" spans="1:4">
      <c r="A49" s="11"/>
      <c r="B49" s="11"/>
      <c r="C49" s="11"/>
      <c r="D49" s="11"/>
    </row>
    <row r="50" spans="1:4">
      <c r="A50" s="11"/>
      <c r="B50" s="11"/>
      <c r="C50" s="11"/>
      <c r="D50" s="11"/>
    </row>
    <row r="51" spans="1:4">
      <c r="A51" s="11"/>
      <c r="B51" s="11"/>
      <c r="C51" s="11"/>
      <c r="D51" s="11"/>
    </row>
    <row r="52" spans="1:4">
      <c r="A52" s="11"/>
      <c r="B52" s="11"/>
      <c r="C52" s="11"/>
      <c r="D52" s="11"/>
    </row>
    <row r="53" spans="1:4">
      <c r="A53" s="11"/>
      <c r="B53" s="11"/>
      <c r="C53" s="11"/>
      <c r="D53" s="11"/>
    </row>
    <row r="54" spans="1:4">
      <c r="A54" s="11"/>
      <c r="B54" s="11"/>
      <c r="C54" s="11"/>
      <c r="D54" s="11"/>
    </row>
    <row r="55" spans="1:4">
      <c r="A55" s="11"/>
      <c r="B55" s="11"/>
      <c r="C55" s="11"/>
      <c r="D55" s="11"/>
    </row>
    <row r="56" spans="1:4">
      <c r="A56" s="11"/>
      <c r="B56" s="11"/>
      <c r="C56" s="11"/>
      <c r="D56" s="11"/>
    </row>
    <row r="57" spans="1:4">
      <c r="A57" s="11"/>
      <c r="B57" s="11"/>
      <c r="C57" s="11"/>
      <c r="D57" s="11"/>
    </row>
    <row r="58" spans="1:4">
      <c r="A58" s="11"/>
      <c r="B58" s="11"/>
      <c r="C58" s="11"/>
      <c r="D58" s="11"/>
    </row>
    <row r="59" spans="1:4">
      <c r="A59" s="11"/>
      <c r="B59" s="11"/>
      <c r="C59" s="11"/>
      <c r="D59" s="11"/>
    </row>
    <row r="60" spans="1:4">
      <c r="A60" s="11"/>
      <c r="B60" s="11"/>
      <c r="C60" s="11"/>
      <c r="D60" s="11"/>
    </row>
    <row r="61" spans="1:4">
      <c r="A61" s="11"/>
      <c r="B61" s="11"/>
      <c r="C61" s="11"/>
      <c r="D61" s="11"/>
    </row>
    <row r="62" spans="1:4">
      <c r="A62" s="11"/>
      <c r="B62" s="11"/>
      <c r="C62" s="11"/>
      <c r="D62" s="11"/>
    </row>
    <row r="63" spans="1:4">
      <c r="A63" s="11"/>
      <c r="B63" s="11"/>
      <c r="C63" s="11"/>
      <c r="D63" s="11"/>
    </row>
    <row r="64" spans="1:4">
      <c r="A64" s="11"/>
      <c r="B64" s="11"/>
      <c r="C64" s="11"/>
      <c r="D64" s="11"/>
    </row>
    <row r="65" spans="1:4">
      <c r="A65" s="11"/>
      <c r="B65" s="11"/>
      <c r="C65" s="11"/>
      <c r="D65" s="11"/>
    </row>
    <row r="66" spans="1:4">
      <c r="A66" s="11"/>
      <c r="B66" s="11"/>
      <c r="C66" s="11"/>
      <c r="D66" s="11"/>
    </row>
    <row r="67" spans="1:4">
      <c r="A67" s="11"/>
      <c r="B67" s="11"/>
      <c r="C67" s="11"/>
      <c r="D67" s="11"/>
    </row>
    <row r="68" spans="1:4">
      <c r="A68" s="11"/>
      <c r="B68" s="11"/>
      <c r="C68" s="11"/>
      <c r="D68" s="11"/>
    </row>
    <row r="69" spans="1:4">
      <c r="A69" s="11"/>
      <c r="B69" s="11"/>
      <c r="C69" s="11"/>
      <c r="D69" s="11"/>
    </row>
    <row r="70" spans="1:4">
      <c r="A70" s="11"/>
      <c r="B70" s="11"/>
      <c r="C70" s="11"/>
      <c r="D70" s="11"/>
    </row>
    <row r="71" spans="1:4">
      <c r="A71" s="11"/>
      <c r="B71" s="11"/>
      <c r="C71" s="11"/>
      <c r="D71" s="11"/>
    </row>
    <row r="72" spans="1:4">
      <c r="A72" s="11"/>
      <c r="B72" s="11"/>
      <c r="C72" s="11"/>
      <c r="D72" s="11"/>
    </row>
    <row r="73" spans="1:4">
      <c r="A73" s="11"/>
      <c r="B73" s="11"/>
      <c r="C73" s="11"/>
      <c r="D73" s="11"/>
    </row>
    <row r="74" spans="1:4">
      <c r="A74" s="11"/>
      <c r="B74" s="11"/>
      <c r="C74" s="11"/>
      <c r="D74" s="11"/>
    </row>
    <row r="75" spans="1:4">
      <c r="A75" s="11"/>
      <c r="B75" s="11"/>
      <c r="C75" s="11"/>
      <c r="D75" s="11"/>
    </row>
    <row r="76" spans="1:4">
      <c r="A76" s="11"/>
      <c r="B76" s="11"/>
      <c r="C76" s="11"/>
      <c r="D76" s="11"/>
    </row>
    <row r="77" spans="1:4">
      <c r="A77" s="11"/>
      <c r="B77" s="11"/>
      <c r="C77" s="11"/>
      <c r="D77" s="11"/>
    </row>
    <row r="78" spans="1:4">
      <c r="A78" s="11"/>
      <c r="B78" s="11"/>
      <c r="C78" s="11"/>
      <c r="D78" s="11"/>
    </row>
    <row r="79" spans="1:4">
      <c r="A79" s="11"/>
      <c r="B79" s="11"/>
      <c r="C79" s="11"/>
      <c r="D79" s="11"/>
    </row>
    <row r="80" spans="1:4">
      <c r="A80" s="11"/>
      <c r="B80" s="11"/>
      <c r="C80" s="11"/>
      <c r="D80" s="11"/>
    </row>
    <row r="81" spans="1:4">
      <c r="A81" s="11"/>
      <c r="B81" s="11"/>
      <c r="C81" s="11"/>
      <c r="D81" s="11"/>
    </row>
    <row r="82" spans="1:4">
      <c r="A82" s="11"/>
      <c r="B82" s="11"/>
      <c r="C82" s="11"/>
      <c r="D82" s="11"/>
    </row>
    <row r="83" spans="1:4">
      <c r="A83" s="11"/>
      <c r="B83" s="11"/>
      <c r="C83" s="11"/>
      <c r="D83" s="11"/>
    </row>
    <row r="84" spans="1:4">
      <c r="A84" s="11"/>
      <c r="B84" s="11"/>
      <c r="C84" s="11"/>
      <c r="D84" s="11"/>
    </row>
    <row r="85" spans="1:4">
      <c r="A85" s="11"/>
      <c r="B85" s="11"/>
      <c r="C85" s="11"/>
      <c r="D85" s="11"/>
    </row>
    <row r="86" spans="1:4">
      <c r="A86" s="11"/>
      <c r="B86" s="11"/>
      <c r="C86" s="11"/>
      <c r="D86" s="11"/>
    </row>
    <row r="87" spans="1:4">
      <c r="A87" s="11"/>
      <c r="B87" s="11"/>
      <c r="C87" s="11"/>
      <c r="D87" s="11"/>
    </row>
    <row r="88" spans="1:4">
      <c r="A88" s="11"/>
      <c r="B88" s="11"/>
      <c r="C88" s="11"/>
      <c r="D88" s="11"/>
    </row>
    <row r="89" spans="1:4">
      <c r="A89" s="11"/>
      <c r="B89" s="11"/>
      <c r="C89" s="11"/>
      <c r="D89" s="11"/>
    </row>
    <row r="90" spans="1:4">
      <c r="A90" s="11"/>
      <c r="B90" s="11"/>
      <c r="C90" s="11"/>
      <c r="D90" s="11"/>
    </row>
    <row r="91" spans="1:4">
      <c r="A91" s="11"/>
      <c r="B91" s="11"/>
      <c r="C91" s="11"/>
      <c r="D91" s="11"/>
    </row>
    <row r="92" spans="1:4">
      <c r="A92" s="11"/>
      <c r="B92" s="11"/>
      <c r="C92" s="11"/>
      <c r="D92" s="11"/>
    </row>
    <row r="93" spans="1:4">
      <c r="A93" s="11"/>
      <c r="B93" s="11"/>
      <c r="C93" s="11"/>
      <c r="D93" s="11"/>
    </row>
    <row r="94" spans="1:4">
      <c r="A94" s="11"/>
      <c r="B94" s="11"/>
      <c r="C94" s="11"/>
      <c r="D94" s="11"/>
    </row>
    <row r="95" spans="1:4">
      <c r="A95" s="11"/>
      <c r="B95" s="11"/>
      <c r="C95" s="11"/>
      <c r="D95" s="11"/>
    </row>
    <row r="96" spans="1:4">
      <c r="A96" s="11"/>
      <c r="B96" s="11"/>
      <c r="C96" s="11"/>
      <c r="D96" s="11"/>
    </row>
    <row r="97" spans="1:4">
      <c r="A97" s="11"/>
      <c r="B97" s="11"/>
      <c r="C97" s="11"/>
      <c r="D97" s="11"/>
    </row>
    <row r="98" spans="1:4">
      <c r="A98" s="11"/>
      <c r="B98" s="11"/>
      <c r="C98" s="11"/>
      <c r="D98" s="11"/>
    </row>
    <row r="99" spans="1:4">
      <c r="A99" s="11"/>
      <c r="B99" s="11"/>
      <c r="C99" s="11"/>
      <c r="D99" s="11"/>
    </row>
    <row r="100" spans="1:4">
      <c r="A100" s="11"/>
      <c r="B100" s="11"/>
      <c r="C100" s="11"/>
      <c r="D100" s="11"/>
    </row>
    <row r="101" spans="1:4">
      <c r="A101" s="11"/>
      <c r="B101" s="11"/>
      <c r="C101" s="11"/>
      <c r="D101" s="11"/>
    </row>
    <row r="102" spans="1:4">
      <c r="A102" s="11"/>
      <c r="B102" s="11"/>
      <c r="C102" s="11"/>
      <c r="D102" s="11"/>
    </row>
    <row r="103" spans="1:4">
      <c r="A103" s="11"/>
      <c r="B103" s="11"/>
      <c r="C103" s="11"/>
      <c r="D103" s="11"/>
    </row>
    <row r="104" spans="1:4">
      <c r="A104" s="11"/>
      <c r="B104" s="11"/>
      <c r="C104" s="11"/>
      <c r="D104" s="11"/>
    </row>
    <row r="105" spans="1:4">
      <c r="A105" s="11"/>
      <c r="B105" s="11"/>
      <c r="C105" s="11"/>
      <c r="D105" s="11"/>
    </row>
    <row r="106" spans="1:4">
      <c r="A106" s="11"/>
      <c r="B106" s="11"/>
      <c r="C106" s="11"/>
      <c r="D106" s="11"/>
    </row>
    <row r="107" spans="1:4">
      <c r="A107" s="11"/>
      <c r="B107" s="11"/>
      <c r="C107" s="11"/>
      <c r="D107" s="11"/>
    </row>
    <row r="108" spans="1:4">
      <c r="A108" s="11"/>
      <c r="B108" s="11"/>
      <c r="C108" s="11"/>
      <c r="D108" s="11"/>
    </row>
    <row r="109" spans="1:4">
      <c r="A109" s="11"/>
      <c r="B109" s="11"/>
      <c r="C109" s="11"/>
      <c r="D109" s="11"/>
    </row>
    <row r="110" spans="1:4">
      <c r="A110" s="11"/>
      <c r="B110" s="11"/>
      <c r="C110" s="11"/>
      <c r="D110" s="11"/>
    </row>
    <row r="111" spans="1:4">
      <c r="A111" s="11"/>
      <c r="B111" s="11"/>
      <c r="C111" s="11"/>
      <c r="D111" s="11"/>
    </row>
    <row r="112" spans="1:4">
      <c r="A112" s="11"/>
      <c r="B112" s="11"/>
      <c r="C112" s="11"/>
      <c r="D112" s="11"/>
    </row>
    <row r="113" spans="1:4">
      <c r="A113" s="11"/>
      <c r="B113" s="11"/>
      <c r="C113" s="11"/>
      <c r="D113" s="11"/>
    </row>
    <row r="114" spans="1:4">
      <c r="A114" s="11"/>
      <c r="B114" s="11"/>
      <c r="C114" s="11"/>
      <c r="D114" s="11"/>
    </row>
    <row r="115" spans="1:4">
      <c r="A115" s="11"/>
      <c r="B115" s="11"/>
      <c r="C115" s="11"/>
      <c r="D115" s="11"/>
    </row>
    <row r="116" spans="1:4">
      <c r="A116" s="11"/>
      <c r="B116" s="11"/>
      <c r="C116" s="11"/>
      <c r="D116" s="11"/>
    </row>
    <row r="117" spans="1:4">
      <c r="A117" s="11"/>
      <c r="B117" s="11"/>
      <c r="C117" s="11"/>
      <c r="D117" s="11"/>
    </row>
    <row r="118" spans="1:4">
      <c r="A118" s="11"/>
      <c r="B118" s="11"/>
      <c r="C118" s="11"/>
      <c r="D118" s="11"/>
    </row>
    <row r="119" spans="1:4">
      <c r="A119" s="11"/>
      <c r="B119" s="11"/>
      <c r="C119" s="11"/>
      <c r="D119" s="11"/>
    </row>
    <row r="120" spans="1:4">
      <c r="A120" s="11"/>
      <c r="B120" s="11"/>
      <c r="C120" s="11"/>
      <c r="D120" s="11"/>
    </row>
    <row r="121" spans="1:4">
      <c r="A121" s="11"/>
      <c r="B121" s="11"/>
      <c r="C121" s="11"/>
      <c r="D121" s="11"/>
    </row>
    <row r="122" spans="1:4">
      <c r="A122" s="11"/>
      <c r="B122" s="11"/>
      <c r="C122" s="11"/>
      <c r="D122" s="11"/>
    </row>
    <row r="123" spans="1:4">
      <c r="A123" s="11"/>
      <c r="B123" s="11"/>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row r="158" spans="1:4">
      <c r="A158" s="11"/>
      <c r="B158" s="11"/>
      <c r="C158" s="11"/>
      <c r="D158" s="11"/>
    </row>
    <row r="159" spans="1:4">
      <c r="A159" s="11"/>
      <c r="B159" s="11"/>
      <c r="C159" s="11"/>
      <c r="D159" s="11"/>
    </row>
    <row r="160" spans="1:4">
      <c r="A160" s="11"/>
      <c r="B160" s="11"/>
      <c r="C160" s="11"/>
      <c r="D160" s="11"/>
    </row>
    <row r="161" spans="1:4">
      <c r="A161" s="11"/>
      <c r="B161" s="11"/>
      <c r="C161" s="11"/>
      <c r="D161" s="11"/>
    </row>
    <row r="162" spans="1:4">
      <c r="A162" s="11"/>
      <c r="B162" s="11"/>
      <c r="C162" s="11"/>
      <c r="D162" s="11"/>
    </row>
    <row r="163" spans="1:4">
      <c r="A163" s="11"/>
      <c r="B163" s="11"/>
      <c r="C163" s="11"/>
      <c r="D163" s="11"/>
    </row>
    <row r="164" spans="1:4">
      <c r="A164" s="11"/>
      <c r="B164" s="11"/>
      <c r="C164" s="11"/>
      <c r="D164" s="11"/>
    </row>
    <row r="165" spans="1:4">
      <c r="A165" s="11"/>
      <c r="B165" s="11"/>
      <c r="C165" s="11"/>
      <c r="D165" s="11"/>
    </row>
    <row r="166" spans="1:4">
      <c r="A166" s="11"/>
      <c r="B166" s="11"/>
      <c r="C166" s="11"/>
      <c r="D166" s="11"/>
    </row>
    <row r="167" spans="1:4">
      <c r="A167" s="11"/>
      <c r="B167" s="11"/>
      <c r="C167" s="11"/>
      <c r="D167" s="11"/>
    </row>
    <row r="168" spans="1:4">
      <c r="A168" s="11"/>
      <c r="B168" s="11"/>
      <c r="C168" s="11"/>
      <c r="D168" s="11"/>
    </row>
    <row r="169" spans="1:4">
      <c r="A169" s="11"/>
      <c r="B169" s="11"/>
      <c r="C169" s="11"/>
      <c r="D169" s="11"/>
    </row>
    <row r="170" spans="1:4">
      <c r="A170" s="11"/>
      <c r="B170" s="11"/>
      <c r="C170" s="11"/>
      <c r="D170" s="11"/>
    </row>
    <row r="171" spans="1:4">
      <c r="A171" s="11"/>
      <c r="B171" s="11"/>
      <c r="C171" s="11"/>
      <c r="D171" s="11"/>
    </row>
    <row r="172" spans="1:4">
      <c r="A172" s="11"/>
      <c r="B172" s="11"/>
      <c r="C172" s="11"/>
      <c r="D172" s="11"/>
    </row>
    <row r="173" spans="1:4">
      <c r="A173" s="11"/>
      <c r="B173" s="11"/>
      <c r="C173" s="11"/>
      <c r="D173" s="11"/>
    </row>
    <row r="174" spans="1:4">
      <c r="A174" s="11"/>
      <c r="B174" s="11"/>
      <c r="C174" s="11"/>
      <c r="D174" s="11"/>
    </row>
    <row r="175" spans="1:4">
      <c r="A175" s="11"/>
      <c r="B175" s="11"/>
      <c r="C175" s="11"/>
      <c r="D175" s="11"/>
    </row>
    <row r="176" spans="1:4">
      <c r="A176" s="11"/>
      <c r="B176" s="11"/>
      <c r="C176" s="11"/>
      <c r="D176" s="11"/>
    </row>
    <row r="177" spans="1:4">
      <c r="A177" s="11"/>
      <c r="B177" s="11"/>
      <c r="C177" s="11"/>
      <c r="D177" s="11"/>
    </row>
    <row r="178" spans="1:4">
      <c r="A178" s="11"/>
      <c r="B178" s="11"/>
      <c r="C178" s="11"/>
      <c r="D178" s="11"/>
    </row>
    <row r="179" spans="1:4">
      <c r="A179" s="11"/>
      <c r="B179" s="11"/>
      <c r="C179" s="11"/>
      <c r="D179" s="11"/>
    </row>
    <row r="180" spans="1:4">
      <c r="A180" s="11"/>
      <c r="B180" s="11"/>
      <c r="C180" s="11"/>
      <c r="D180" s="11"/>
    </row>
    <row r="181" spans="1:4">
      <c r="A181" s="11"/>
      <c r="B181" s="11"/>
      <c r="C181" s="11"/>
      <c r="D181" s="11"/>
    </row>
    <row r="182" spans="1:4">
      <c r="A182" s="11"/>
      <c r="B182" s="11"/>
      <c r="C182" s="11"/>
      <c r="D182" s="11"/>
    </row>
  </sheetData>
  <hyperlinks>
    <hyperlink ref="A1" location="TableOfContents!A1" display="Back to Table of Contents"/>
  </hyperlinks>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workbookViewId="0">
      <pane xSplit="16780" topLeftCell="AQ1"/>
      <selection activeCell="A22" sqref="A22:XFD22"/>
      <selection pane="topRight" activeCell="J9" sqref="J9:J32"/>
    </sheetView>
  </sheetViews>
  <sheetFormatPr baseColWidth="10" defaultRowHeight="13" x14ac:dyDescent="0"/>
  <cols>
    <col min="1" max="1" width="15.140625" style="3" customWidth="1"/>
    <col min="2" max="3" width="5.7109375" style="3" customWidth="1"/>
    <col min="4" max="5" width="10.7109375" style="3"/>
    <col min="37" max="51" width="10.7109375" style="3"/>
  </cols>
  <sheetData>
    <row r="1" spans="1:53">
      <c r="A1" s="184" t="s">
        <v>2404</v>
      </c>
    </row>
    <row r="2" spans="1:53">
      <c r="A2" s="1" t="s">
        <v>614</v>
      </c>
      <c r="B2" s="1"/>
      <c r="C2" s="1"/>
      <c r="D2" s="1"/>
      <c r="E2" s="1" t="s">
        <v>2079</v>
      </c>
      <c r="F2" s="1" t="s">
        <v>2079</v>
      </c>
      <c r="G2" s="1" t="s">
        <v>2079</v>
      </c>
      <c r="H2" s="1" t="s">
        <v>2079</v>
      </c>
      <c r="I2" s="1" t="s">
        <v>2079</v>
      </c>
      <c r="J2" s="1" t="s">
        <v>2079</v>
      </c>
      <c r="K2" s="1" t="s">
        <v>2079</v>
      </c>
      <c r="L2" s="1" t="s">
        <v>2079</v>
      </c>
      <c r="M2" s="1" t="s">
        <v>2079</v>
      </c>
      <c r="N2" s="1" t="s">
        <v>2079</v>
      </c>
      <c r="O2" s="1" t="s">
        <v>2079</v>
      </c>
      <c r="P2" s="1" t="s">
        <v>2079</v>
      </c>
      <c r="Q2" s="1" t="s">
        <v>2079</v>
      </c>
      <c r="R2" s="1" t="s">
        <v>2079</v>
      </c>
      <c r="S2" s="1" t="s">
        <v>2079</v>
      </c>
      <c r="T2" s="1" t="s">
        <v>2079</v>
      </c>
      <c r="U2" s="1" t="s">
        <v>2079</v>
      </c>
      <c r="V2" s="1" t="s">
        <v>2079</v>
      </c>
      <c r="W2" s="1" t="s">
        <v>2079</v>
      </c>
      <c r="X2" s="1" t="s">
        <v>2079</v>
      </c>
      <c r="Y2" s="1" t="s">
        <v>2079</v>
      </c>
      <c r="Z2" s="1" t="s">
        <v>2079</v>
      </c>
      <c r="AA2" s="1" t="s">
        <v>2079</v>
      </c>
      <c r="AB2" s="1" t="s">
        <v>2079</v>
      </c>
      <c r="AC2" s="1" t="s">
        <v>2079</v>
      </c>
      <c r="AD2" s="1" t="s">
        <v>2079</v>
      </c>
      <c r="AE2" s="1" t="s">
        <v>2079</v>
      </c>
      <c r="AF2" s="1" t="s">
        <v>2079</v>
      </c>
      <c r="AG2" s="1" t="s">
        <v>2079</v>
      </c>
      <c r="AH2" s="1" t="s">
        <v>2079</v>
      </c>
      <c r="AI2" s="1" t="s">
        <v>2079</v>
      </c>
      <c r="AJ2" s="1" t="s">
        <v>2079</v>
      </c>
      <c r="AK2" s="1" t="s">
        <v>2079</v>
      </c>
      <c r="AL2" s="1" t="s">
        <v>2079</v>
      </c>
      <c r="AM2" s="1" t="s">
        <v>2079</v>
      </c>
      <c r="AN2" s="1" t="s">
        <v>2079</v>
      </c>
      <c r="AO2" s="1" t="s">
        <v>2079</v>
      </c>
      <c r="AP2" s="1" t="s">
        <v>2079</v>
      </c>
      <c r="AQ2" s="1" t="s">
        <v>2079</v>
      </c>
      <c r="AR2" s="1" t="s">
        <v>2079</v>
      </c>
      <c r="AS2" s="1" t="s">
        <v>2079</v>
      </c>
      <c r="AT2" s="1" t="s">
        <v>2079</v>
      </c>
      <c r="AU2" s="1" t="s">
        <v>2079</v>
      </c>
      <c r="AV2" s="1" t="s">
        <v>2079</v>
      </c>
      <c r="AW2" s="1" t="s">
        <v>2079</v>
      </c>
      <c r="AX2" s="1" t="s">
        <v>2079</v>
      </c>
      <c r="AY2" s="1" t="s">
        <v>2079</v>
      </c>
      <c r="AZ2" s="1" t="s">
        <v>2079</v>
      </c>
      <c r="BA2" s="1" t="s">
        <v>2079</v>
      </c>
    </row>
    <row r="3" spans="1:53">
      <c r="A3" s="1" t="s">
        <v>518</v>
      </c>
      <c r="B3" s="1"/>
      <c r="C3" s="1"/>
      <c r="D3" s="1"/>
      <c r="E3" s="1" t="s">
        <v>1432</v>
      </c>
      <c r="K3" s="115"/>
      <c r="L3" s="115"/>
      <c r="X3" s="115"/>
      <c r="Y3" s="115"/>
      <c r="Z3" s="116" t="s">
        <v>2080</v>
      </c>
      <c r="AA3" s="116" t="s">
        <v>2080</v>
      </c>
      <c r="AB3" s="116" t="s">
        <v>2080</v>
      </c>
      <c r="AC3" s="116" t="s">
        <v>2080</v>
      </c>
      <c r="AD3" s="116" t="s">
        <v>2080</v>
      </c>
      <c r="AE3" s="116" t="s">
        <v>2080</v>
      </c>
      <c r="AF3" s="116" t="s">
        <v>2080</v>
      </c>
      <c r="AG3" s="116" t="s">
        <v>2080</v>
      </c>
      <c r="AH3" s="116" t="s">
        <v>2080</v>
      </c>
      <c r="AI3" s="116" t="s">
        <v>2080</v>
      </c>
      <c r="AJ3" s="116" t="s">
        <v>2080</v>
      </c>
      <c r="AK3" s="1" t="s">
        <v>1507</v>
      </c>
      <c r="AL3" s="1" t="s">
        <v>1507</v>
      </c>
      <c r="AM3" s="1" t="s">
        <v>1507</v>
      </c>
      <c r="AN3" s="1" t="s">
        <v>1507</v>
      </c>
      <c r="AO3" s="1" t="s">
        <v>1507</v>
      </c>
      <c r="AP3" s="1" t="s">
        <v>1507</v>
      </c>
      <c r="AQ3" s="1" t="s">
        <v>1507</v>
      </c>
      <c r="AR3" s="1" t="s">
        <v>1507</v>
      </c>
      <c r="AS3" s="1" t="s">
        <v>1507</v>
      </c>
      <c r="AT3" s="1" t="s">
        <v>1507</v>
      </c>
      <c r="AU3" s="1" t="s">
        <v>1507</v>
      </c>
      <c r="AV3" s="1" t="s">
        <v>1507</v>
      </c>
      <c r="AW3" s="1" t="s">
        <v>1507</v>
      </c>
      <c r="AX3" s="1" t="s">
        <v>1507</v>
      </c>
      <c r="AY3" s="1" t="s">
        <v>1507</v>
      </c>
      <c r="AZ3" s="1" t="s">
        <v>1507</v>
      </c>
      <c r="BA3" s="1" t="s">
        <v>1507</v>
      </c>
    </row>
    <row r="4" spans="1:53">
      <c r="A4" s="1" t="s">
        <v>736</v>
      </c>
      <c r="B4" s="1"/>
      <c r="C4" s="1"/>
      <c r="D4" s="1"/>
      <c r="E4" s="1"/>
      <c r="K4" s="115"/>
      <c r="L4" s="115"/>
      <c r="X4" s="115"/>
      <c r="Y4" s="115"/>
      <c r="Z4" s="115"/>
      <c r="AA4" s="115"/>
      <c r="AB4" s="115"/>
      <c r="AC4" s="115"/>
      <c r="AD4" s="115"/>
      <c r="AE4" s="115"/>
      <c r="AF4" s="115"/>
      <c r="AG4" s="115"/>
      <c r="AH4" s="115"/>
      <c r="AI4" s="115"/>
      <c r="AJ4" s="115"/>
      <c r="AK4" s="1"/>
      <c r="AL4" s="1"/>
      <c r="AM4" s="1"/>
      <c r="AN4" s="1"/>
      <c r="AO4" s="1"/>
      <c r="AP4" s="1"/>
      <c r="AQ4" s="1"/>
      <c r="AR4" s="1"/>
      <c r="AS4" s="61"/>
      <c r="AT4" s="61"/>
      <c r="AU4" s="61"/>
      <c r="AV4" s="61"/>
      <c r="AW4" s="61"/>
      <c r="AX4" s="61"/>
      <c r="AY4" s="61"/>
      <c r="AZ4" s="61"/>
      <c r="BA4" s="61"/>
    </row>
    <row r="5" spans="1:53">
      <c r="A5" s="1" t="s">
        <v>737</v>
      </c>
      <c r="B5" s="1"/>
      <c r="C5" s="1"/>
      <c r="D5" s="1"/>
      <c r="E5" s="1" t="s">
        <v>1378</v>
      </c>
      <c r="K5" s="115"/>
      <c r="L5" s="115"/>
      <c r="X5" s="115"/>
      <c r="Y5" s="115"/>
      <c r="Z5" s="115"/>
      <c r="AA5" s="115"/>
      <c r="AB5" s="115"/>
      <c r="AC5" s="115"/>
      <c r="AD5" s="115"/>
      <c r="AE5" s="115"/>
      <c r="AF5" s="115"/>
      <c r="AG5" s="115"/>
      <c r="AH5" s="115"/>
      <c r="AI5" s="115"/>
      <c r="AJ5" s="115"/>
      <c r="AK5" s="61" t="s">
        <v>1430</v>
      </c>
      <c r="AL5" s="61" t="s">
        <v>1430</v>
      </c>
      <c r="AM5" s="61" t="s">
        <v>1430</v>
      </c>
      <c r="AN5" s="61" t="s">
        <v>1430</v>
      </c>
      <c r="AO5" s="61" t="s">
        <v>1430</v>
      </c>
      <c r="AP5" s="61" t="s">
        <v>1430</v>
      </c>
      <c r="AQ5" s="61" t="s">
        <v>1430</v>
      </c>
      <c r="AR5" s="61" t="s">
        <v>1430</v>
      </c>
      <c r="AS5" s="61" t="s">
        <v>1430</v>
      </c>
      <c r="AT5" s="61" t="s">
        <v>1504</v>
      </c>
      <c r="AU5" s="61" t="s">
        <v>1504</v>
      </c>
      <c r="AV5" s="61" t="s">
        <v>1504</v>
      </c>
      <c r="AW5" s="61" t="s">
        <v>1504</v>
      </c>
      <c r="AX5" s="61" t="s">
        <v>1504</v>
      </c>
      <c r="AY5" s="61" t="s">
        <v>1504</v>
      </c>
      <c r="AZ5" s="61" t="s">
        <v>1504</v>
      </c>
      <c r="BA5" s="61" t="s">
        <v>1504</v>
      </c>
    </row>
    <row r="6" spans="1:53">
      <c r="A6" s="42" t="s">
        <v>560</v>
      </c>
      <c r="B6" s="42"/>
      <c r="C6" s="42"/>
      <c r="D6" s="42"/>
      <c r="E6" s="42"/>
      <c r="K6" s="115"/>
      <c r="L6" s="115"/>
      <c r="X6" s="115"/>
      <c r="Y6" s="115"/>
      <c r="Z6" s="115"/>
      <c r="AA6" s="115"/>
      <c r="AB6" s="115"/>
      <c r="AC6" s="115"/>
      <c r="AD6" s="115"/>
      <c r="AE6" s="115"/>
      <c r="AF6" s="115"/>
      <c r="AG6" s="115"/>
      <c r="AH6" s="115"/>
      <c r="AI6" s="115"/>
      <c r="AJ6" s="115"/>
      <c r="AK6" s="42" t="s">
        <v>1446</v>
      </c>
      <c r="AL6" s="42" t="s">
        <v>1447</v>
      </c>
      <c r="AM6" s="42" t="s">
        <v>1448</v>
      </c>
      <c r="AN6" s="42" t="s">
        <v>1449</v>
      </c>
      <c r="AO6" s="42" t="s">
        <v>1634</v>
      </c>
      <c r="AP6" s="42" t="s">
        <v>1635</v>
      </c>
      <c r="AQ6" s="42" t="s">
        <v>1636</v>
      </c>
      <c r="AR6" s="42" t="s">
        <v>1492</v>
      </c>
      <c r="AS6" s="42">
        <v>1999</v>
      </c>
      <c r="AT6" s="42" t="s">
        <v>1509</v>
      </c>
      <c r="AU6" s="42" t="s">
        <v>1510</v>
      </c>
      <c r="AV6" s="42" t="s">
        <v>1520</v>
      </c>
      <c r="AW6" s="42" t="s">
        <v>1521</v>
      </c>
      <c r="AX6" s="42" t="s">
        <v>328</v>
      </c>
      <c r="AY6" s="42" t="s">
        <v>1812</v>
      </c>
      <c r="AZ6" s="42" t="s">
        <v>1927</v>
      </c>
      <c r="BA6" s="42" t="s">
        <v>1927</v>
      </c>
    </row>
    <row r="7" spans="1:53" ht="77">
      <c r="A7" s="7" t="s">
        <v>3334</v>
      </c>
      <c r="B7" s="1"/>
      <c r="C7" s="1"/>
      <c r="D7" s="1"/>
      <c r="E7" s="1" t="s">
        <v>1436</v>
      </c>
      <c r="F7" s="104" t="s">
        <v>2021</v>
      </c>
      <c r="G7" s="104" t="s">
        <v>2068</v>
      </c>
      <c r="H7" s="104" t="s">
        <v>2032</v>
      </c>
      <c r="I7" s="104" t="s">
        <v>2022</v>
      </c>
      <c r="J7" s="104" t="s">
        <v>2023</v>
      </c>
      <c r="K7" s="104" t="s">
        <v>2038</v>
      </c>
      <c r="L7" s="104" t="s">
        <v>2039</v>
      </c>
      <c r="M7" s="104" t="s">
        <v>2024</v>
      </c>
      <c r="N7" s="104" t="s">
        <v>2025</v>
      </c>
      <c r="O7" s="104" t="s">
        <v>2026</v>
      </c>
      <c r="P7" s="104" t="s">
        <v>2027</v>
      </c>
      <c r="Q7" s="104" t="s">
        <v>2028</v>
      </c>
      <c r="R7" s="104" t="s">
        <v>2029</v>
      </c>
      <c r="S7" s="104" t="s">
        <v>2030</v>
      </c>
      <c r="T7" s="104" t="s">
        <v>2031</v>
      </c>
      <c r="U7" s="104" t="s">
        <v>2033</v>
      </c>
      <c r="V7" s="104" t="s">
        <v>2034</v>
      </c>
      <c r="W7" s="104" t="s">
        <v>2035</v>
      </c>
      <c r="X7" s="104" t="s">
        <v>2036</v>
      </c>
      <c r="Y7" s="104" t="s">
        <v>2037</v>
      </c>
      <c r="Z7" s="104" t="s">
        <v>2069</v>
      </c>
      <c r="AA7" s="104" t="s">
        <v>2070</v>
      </c>
      <c r="AB7" s="104" t="s">
        <v>2071</v>
      </c>
      <c r="AC7" s="104" t="s">
        <v>2072</v>
      </c>
      <c r="AD7" s="104" t="s">
        <v>2073</v>
      </c>
      <c r="AE7" s="104" t="s">
        <v>2074</v>
      </c>
      <c r="AF7" s="104" t="s">
        <v>2075</v>
      </c>
      <c r="AG7" s="104" t="s">
        <v>2076</v>
      </c>
      <c r="AH7" s="104" t="s">
        <v>2077</v>
      </c>
      <c r="AI7" s="104" t="s">
        <v>2078</v>
      </c>
      <c r="AJ7" s="104" t="s">
        <v>2040</v>
      </c>
      <c r="AK7" s="61" t="s">
        <v>1493</v>
      </c>
      <c r="AL7" s="61" t="s">
        <v>1460</v>
      </c>
      <c r="AM7" s="61" t="s">
        <v>1390</v>
      </c>
      <c r="AN7" s="61" t="s">
        <v>1391</v>
      </c>
      <c r="AO7" s="61" t="s">
        <v>1425</v>
      </c>
      <c r="AP7" s="61" t="s">
        <v>1420</v>
      </c>
      <c r="AQ7" s="61" t="s">
        <v>1488</v>
      </c>
      <c r="AR7" s="61" t="s">
        <v>1421</v>
      </c>
      <c r="AS7" s="61" t="s">
        <v>1508</v>
      </c>
      <c r="AT7" s="61" t="s">
        <v>1552</v>
      </c>
      <c r="AU7" s="61" t="s">
        <v>1431</v>
      </c>
      <c r="AV7" s="61" t="s">
        <v>1489</v>
      </c>
      <c r="AW7" s="61" t="s">
        <v>1490</v>
      </c>
      <c r="AX7" s="61" t="s">
        <v>1548</v>
      </c>
      <c r="AY7" s="61" t="s">
        <v>1813</v>
      </c>
      <c r="AZ7" s="61" t="s">
        <v>3236</v>
      </c>
      <c r="BA7" s="61" t="s">
        <v>3341</v>
      </c>
    </row>
    <row r="8" spans="1:53">
      <c r="A8" s="9" t="s">
        <v>572</v>
      </c>
      <c r="B8" s="9" t="s">
        <v>770</v>
      </c>
      <c r="C8" s="9" t="s">
        <v>771</v>
      </c>
      <c r="D8" s="9" t="s">
        <v>772</v>
      </c>
      <c r="E8" s="9" t="s">
        <v>1557</v>
      </c>
      <c r="F8" s="105" t="s">
        <v>2041</v>
      </c>
      <c r="G8" s="105"/>
      <c r="H8" s="105"/>
      <c r="I8" s="105" t="s">
        <v>2042</v>
      </c>
      <c r="J8" s="105" t="s">
        <v>2043</v>
      </c>
      <c r="K8" s="105"/>
      <c r="L8" s="105"/>
      <c r="M8" s="105" t="s">
        <v>2044</v>
      </c>
      <c r="N8" s="105" t="s">
        <v>2045</v>
      </c>
      <c r="O8" s="105" t="s">
        <v>2046</v>
      </c>
      <c r="P8" s="105" t="s">
        <v>2047</v>
      </c>
      <c r="Q8" s="105"/>
      <c r="R8" s="105" t="s">
        <v>2048</v>
      </c>
      <c r="S8" s="105" t="s">
        <v>2049</v>
      </c>
      <c r="T8" s="105" t="s">
        <v>2050</v>
      </c>
      <c r="U8" s="105" t="s">
        <v>2051</v>
      </c>
      <c r="V8" s="105" t="s">
        <v>2052</v>
      </c>
      <c r="W8" s="105" t="s">
        <v>2053</v>
      </c>
      <c r="X8" s="105" t="s">
        <v>2054</v>
      </c>
      <c r="Y8" s="105" t="s">
        <v>2055</v>
      </c>
      <c r="Z8" s="105"/>
      <c r="AA8" s="105"/>
      <c r="AB8" s="105"/>
      <c r="AC8" s="105"/>
      <c r="AD8" s="105"/>
      <c r="AE8" s="105"/>
      <c r="AF8" s="105"/>
      <c r="AG8" s="105"/>
      <c r="AH8" s="105"/>
      <c r="AI8" s="105"/>
      <c r="AJ8" s="105"/>
      <c r="AK8" s="62" t="s">
        <v>1469</v>
      </c>
      <c r="AL8" s="62" t="s">
        <v>1470</v>
      </c>
      <c r="AM8" s="62" t="s">
        <v>1471</v>
      </c>
      <c r="AN8" s="62" t="s">
        <v>1558</v>
      </c>
      <c r="AO8" s="62" t="s">
        <v>1559</v>
      </c>
      <c r="AP8" s="62" t="s">
        <v>1560</v>
      </c>
      <c r="AQ8" s="62" t="s">
        <v>1561</v>
      </c>
      <c r="AR8" s="62" t="s">
        <v>1562</v>
      </c>
      <c r="AS8" s="62" t="s">
        <v>1563</v>
      </c>
      <c r="AT8" s="62" t="s">
        <v>1564</v>
      </c>
      <c r="AU8" s="62" t="s">
        <v>1565</v>
      </c>
      <c r="AV8" s="62" t="s">
        <v>1566</v>
      </c>
      <c r="AW8" s="62" t="s">
        <v>1567</v>
      </c>
      <c r="AX8" s="62" t="s">
        <v>1637</v>
      </c>
      <c r="AY8" s="62" t="s">
        <v>1814</v>
      </c>
      <c r="AZ8" s="62" t="s">
        <v>3340</v>
      </c>
      <c r="BA8" s="62" t="s">
        <v>3342</v>
      </c>
    </row>
    <row r="9" spans="1:53">
      <c r="A9" s="3" t="s">
        <v>850</v>
      </c>
      <c r="B9" s="3" t="s">
        <v>851</v>
      </c>
      <c r="C9" s="3">
        <v>1</v>
      </c>
      <c r="D9" s="3" t="s">
        <v>759</v>
      </c>
      <c r="E9" s="11" t="s">
        <v>1434</v>
      </c>
      <c r="F9" s="96">
        <v>1</v>
      </c>
      <c r="G9" s="109" t="s">
        <v>2057</v>
      </c>
      <c r="H9" s="96" t="s">
        <v>2056</v>
      </c>
      <c r="I9" s="106">
        <v>92</v>
      </c>
      <c r="J9" s="96">
        <v>0</v>
      </c>
      <c r="K9" s="108">
        <v>40237</v>
      </c>
      <c r="L9" s="108">
        <v>40511</v>
      </c>
      <c r="M9" s="96">
        <v>8</v>
      </c>
      <c r="N9" s="99">
        <f>(15+11+18+14+11+11+6+6)/8</f>
        <v>11.5</v>
      </c>
      <c r="O9" s="96">
        <v>1</v>
      </c>
      <c r="P9" s="96">
        <v>0</v>
      </c>
      <c r="Q9" s="96">
        <v>1</v>
      </c>
      <c r="R9" s="96">
        <v>0</v>
      </c>
      <c r="S9" s="96">
        <v>0</v>
      </c>
      <c r="T9" s="96">
        <v>0</v>
      </c>
      <c r="U9" s="96">
        <v>0</v>
      </c>
      <c r="V9" s="96">
        <v>1</v>
      </c>
      <c r="W9" s="96">
        <v>1</v>
      </c>
      <c r="X9" s="107">
        <v>0</v>
      </c>
      <c r="Y9" s="107">
        <f>3/N9</f>
        <v>0.2608695652173913</v>
      </c>
      <c r="Z9" s="96">
        <f>(4+4+2+8)/4</f>
        <v>4.5</v>
      </c>
      <c r="AA9" s="96">
        <f>(3+3+2+7)/4</f>
        <v>3.75</v>
      </c>
      <c r="AB9" s="96">
        <f>(2+3+2+2)/4</f>
        <v>2.25</v>
      </c>
      <c r="AC9" s="96">
        <f>(2+0+0+1)/4</f>
        <v>0.75</v>
      </c>
      <c r="AD9" s="96"/>
      <c r="AE9" s="96"/>
      <c r="AF9" s="96"/>
      <c r="AG9" s="96"/>
      <c r="AH9" s="96"/>
      <c r="AI9" s="96"/>
      <c r="AJ9" s="96"/>
      <c r="AK9" s="67">
        <v>29157</v>
      </c>
      <c r="AL9" s="67">
        <v>29892</v>
      </c>
      <c r="AM9" s="67">
        <v>30564</v>
      </c>
      <c r="AN9" s="67">
        <v>31180</v>
      </c>
      <c r="AO9" s="67">
        <v>32027</v>
      </c>
      <c r="AP9" s="67">
        <v>32783</v>
      </c>
      <c r="AQ9" s="67">
        <v>33371</v>
      </c>
      <c r="AR9" s="67">
        <v>34267</v>
      </c>
      <c r="AS9" s="68">
        <v>34995</v>
      </c>
      <c r="AT9" s="67">
        <v>35716</v>
      </c>
      <c r="AU9" s="67">
        <v>36416</v>
      </c>
      <c r="AV9" s="67">
        <v>37186</v>
      </c>
      <c r="AW9" s="67">
        <v>37921</v>
      </c>
      <c r="AX9" s="67">
        <v>38530</v>
      </c>
      <c r="AY9" s="67">
        <v>39377</v>
      </c>
      <c r="AZ9" s="67">
        <v>40112</v>
      </c>
      <c r="BA9" s="67">
        <v>40840</v>
      </c>
    </row>
    <row r="10" spans="1:53">
      <c r="A10" s="3" t="s">
        <v>667</v>
      </c>
      <c r="B10" s="3" t="s">
        <v>668</v>
      </c>
      <c r="C10" s="3">
        <v>2</v>
      </c>
      <c r="D10" s="3" t="s">
        <v>759</v>
      </c>
      <c r="E10" s="11" t="s">
        <v>1435</v>
      </c>
      <c r="F10" s="96">
        <v>0</v>
      </c>
      <c r="G10" s="109" t="s">
        <v>2058</v>
      </c>
      <c r="H10" s="96" t="s">
        <v>2056</v>
      </c>
      <c r="I10" s="106">
        <v>60</v>
      </c>
      <c r="J10" s="96">
        <v>0</v>
      </c>
      <c r="K10" s="108">
        <v>40237</v>
      </c>
      <c r="L10" s="108">
        <v>40526</v>
      </c>
      <c r="M10" s="96">
        <v>1</v>
      </c>
      <c r="N10" s="99">
        <v>30</v>
      </c>
      <c r="O10" s="96">
        <v>1</v>
      </c>
      <c r="P10" s="96">
        <v>0</v>
      </c>
      <c r="Q10" s="96">
        <v>1</v>
      </c>
      <c r="R10" s="96">
        <v>0</v>
      </c>
      <c r="S10" s="96">
        <v>0</v>
      </c>
      <c r="T10" s="96">
        <v>0</v>
      </c>
      <c r="U10" s="96">
        <v>0</v>
      </c>
      <c r="V10" s="96">
        <v>1</v>
      </c>
      <c r="W10" s="96">
        <v>0</v>
      </c>
      <c r="X10" s="107">
        <v>0</v>
      </c>
      <c r="Y10" s="107">
        <f>4/30</f>
        <v>0.13333333333333333</v>
      </c>
      <c r="Z10" s="96">
        <v>12</v>
      </c>
      <c r="AA10" s="96">
        <v>8</v>
      </c>
      <c r="AB10" s="96">
        <v>6</v>
      </c>
      <c r="AC10" s="96">
        <v>2</v>
      </c>
      <c r="AD10" s="96">
        <v>1</v>
      </c>
      <c r="AE10" s="96">
        <v>1</v>
      </c>
      <c r="AF10" s="96"/>
      <c r="AG10" s="96"/>
      <c r="AH10" s="96"/>
      <c r="AI10" s="96"/>
      <c r="AJ10" s="96"/>
      <c r="AK10" s="67">
        <v>29157</v>
      </c>
      <c r="AL10" s="67">
        <v>29892</v>
      </c>
      <c r="AM10" s="67">
        <v>30564</v>
      </c>
      <c r="AN10" s="67">
        <v>31180</v>
      </c>
      <c r="AO10" s="67">
        <v>32027</v>
      </c>
      <c r="AP10" s="67">
        <v>32783</v>
      </c>
      <c r="AQ10" s="67"/>
      <c r="AR10" s="67">
        <v>34267</v>
      </c>
      <c r="AS10" s="69">
        <v>35191</v>
      </c>
      <c r="AT10" s="67"/>
      <c r="AU10" s="67">
        <v>36395</v>
      </c>
      <c r="AV10" s="67">
        <v>37186</v>
      </c>
      <c r="AW10" s="67">
        <v>37774</v>
      </c>
      <c r="AX10" s="67">
        <v>38530</v>
      </c>
      <c r="AY10" s="67">
        <v>39272</v>
      </c>
      <c r="AZ10" s="67">
        <v>40112</v>
      </c>
      <c r="BA10" s="67">
        <v>40728</v>
      </c>
    </row>
    <row r="11" spans="1:53">
      <c r="A11" s="3" t="s">
        <v>669</v>
      </c>
      <c r="B11" s="3" t="s">
        <v>663</v>
      </c>
      <c r="C11" s="3">
        <v>3</v>
      </c>
      <c r="D11" s="3" t="s">
        <v>664</v>
      </c>
      <c r="E11" s="11" t="s">
        <v>1434</v>
      </c>
      <c r="F11" s="96">
        <v>1</v>
      </c>
      <c r="G11" s="109" t="s">
        <v>2057</v>
      </c>
      <c r="H11" s="96" t="s">
        <v>2056</v>
      </c>
      <c r="I11" s="106">
        <v>41</v>
      </c>
      <c r="J11" s="96">
        <v>0</v>
      </c>
      <c r="K11" s="108">
        <v>40316</v>
      </c>
      <c r="L11" s="108">
        <v>40511</v>
      </c>
      <c r="M11" s="96">
        <v>1</v>
      </c>
      <c r="N11" s="99">
        <v>20.5</v>
      </c>
      <c r="O11" s="96">
        <v>1</v>
      </c>
      <c r="P11" s="96">
        <v>0</v>
      </c>
      <c r="Q11" s="96">
        <v>1</v>
      </c>
      <c r="R11" s="96">
        <v>0</v>
      </c>
      <c r="S11" s="96">
        <v>0</v>
      </c>
      <c r="T11" s="96">
        <v>0</v>
      </c>
      <c r="U11" s="96">
        <v>0</v>
      </c>
      <c r="V11" s="96">
        <v>1</v>
      </c>
      <c r="W11" s="96">
        <v>1</v>
      </c>
      <c r="X11" s="107">
        <v>0.03</v>
      </c>
      <c r="Y11" s="107">
        <v>0</v>
      </c>
      <c r="Z11" s="96">
        <v>9</v>
      </c>
      <c r="AA11" s="96">
        <v>8</v>
      </c>
      <c r="AB11" s="96">
        <v>4</v>
      </c>
      <c r="AC11" s="96"/>
      <c r="AD11" s="96"/>
      <c r="AE11" s="96"/>
      <c r="AF11" s="96"/>
      <c r="AG11" s="96"/>
      <c r="AH11" s="96"/>
      <c r="AI11" s="96"/>
      <c r="AJ11" s="96"/>
      <c r="AK11" s="67">
        <v>29157</v>
      </c>
      <c r="AL11" s="67">
        <v>29892</v>
      </c>
      <c r="AM11" s="67">
        <v>30564</v>
      </c>
      <c r="AN11" s="67">
        <v>31180</v>
      </c>
      <c r="AO11" s="67">
        <v>32111</v>
      </c>
      <c r="AP11" s="67">
        <v>32783</v>
      </c>
      <c r="AQ11" s="67">
        <v>33371</v>
      </c>
      <c r="AR11" s="67">
        <v>34085</v>
      </c>
      <c r="AS11" s="67">
        <v>34778</v>
      </c>
      <c r="AT11" s="67">
        <v>35513</v>
      </c>
      <c r="AU11" s="67">
        <v>36395</v>
      </c>
      <c r="AV11" s="67">
        <v>36955</v>
      </c>
      <c r="AW11" s="67">
        <v>37690</v>
      </c>
      <c r="AX11" s="67">
        <v>38418</v>
      </c>
      <c r="AY11" s="67">
        <v>39153</v>
      </c>
      <c r="AZ11" s="67">
        <v>40112</v>
      </c>
      <c r="BA11" s="67">
        <v>40840</v>
      </c>
    </row>
    <row r="12" spans="1:53">
      <c r="A12" s="3" t="s">
        <v>665</v>
      </c>
      <c r="B12" s="3" t="s">
        <v>640</v>
      </c>
      <c r="C12" s="3">
        <v>4</v>
      </c>
      <c r="D12" s="3" t="s">
        <v>641</v>
      </c>
      <c r="E12" s="11" t="s">
        <v>1435</v>
      </c>
      <c r="F12" s="96">
        <v>0</v>
      </c>
      <c r="G12" s="109" t="s">
        <v>2059</v>
      </c>
      <c r="H12" s="96" t="s">
        <v>2056</v>
      </c>
      <c r="I12" s="106">
        <v>32</v>
      </c>
      <c r="J12" s="96">
        <v>0</v>
      </c>
      <c r="K12" s="108">
        <v>40237</v>
      </c>
      <c r="L12" s="108">
        <v>40526</v>
      </c>
      <c r="M12" s="96">
        <v>1</v>
      </c>
      <c r="N12" s="99">
        <v>16</v>
      </c>
      <c r="O12" s="96">
        <v>1</v>
      </c>
      <c r="P12" s="96">
        <v>0</v>
      </c>
      <c r="Q12" s="96">
        <v>1</v>
      </c>
      <c r="R12" s="96">
        <v>0</v>
      </c>
      <c r="S12" s="96">
        <v>0</v>
      </c>
      <c r="T12" s="96">
        <v>0</v>
      </c>
      <c r="U12" s="96">
        <v>0</v>
      </c>
      <c r="V12" s="96">
        <v>1</v>
      </c>
      <c r="W12" s="96">
        <v>1</v>
      </c>
      <c r="X12" s="107">
        <v>0</v>
      </c>
      <c r="Y12" s="107">
        <v>0</v>
      </c>
      <c r="Z12" s="96">
        <v>10</v>
      </c>
      <c r="AA12" s="96">
        <v>6</v>
      </c>
      <c r="AB12" s="96"/>
      <c r="AC12" s="96"/>
      <c r="AD12" s="96"/>
      <c r="AE12" s="96"/>
      <c r="AF12" s="96"/>
      <c r="AG12" s="96"/>
      <c r="AH12" s="96"/>
      <c r="AI12" s="96"/>
      <c r="AJ12" s="96"/>
      <c r="AK12" s="67">
        <v>29157</v>
      </c>
      <c r="AL12" s="67">
        <v>29892</v>
      </c>
      <c r="AM12" s="67">
        <v>30564</v>
      </c>
      <c r="AN12" s="67">
        <v>31180</v>
      </c>
      <c r="AO12" s="67">
        <v>32076</v>
      </c>
      <c r="AP12" s="67">
        <v>32783</v>
      </c>
      <c r="AQ12" s="67">
        <v>33490</v>
      </c>
      <c r="AR12" s="67">
        <v>34204</v>
      </c>
      <c r="AS12" s="67">
        <v>34953</v>
      </c>
      <c r="AT12" s="67">
        <v>35667</v>
      </c>
      <c r="AU12" s="67">
        <v>36416</v>
      </c>
      <c r="AV12" s="67">
        <v>37186</v>
      </c>
      <c r="AW12" s="67">
        <v>37879</v>
      </c>
      <c r="AX12" s="67">
        <v>38530</v>
      </c>
      <c r="AY12" s="67">
        <v>39342</v>
      </c>
      <c r="AZ12" s="67">
        <v>40112</v>
      </c>
      <c r="BA12" s="67">
        <v>40840</v>
      </c>
    </row>
    <row r="13" spans="1:53">
      <c r="A13" s="3" t="s">
        <v>628</v>
      </c>
      <c r="B13" s="3" t="s">
        <v>629</v>
      </c>
      <c r="C13" s="3">
        <v>7</v>
      </c>
      <c r="D13" s="3" t="s">
        <v>641</v>
      </c>
      <c r="E13" s="11" t="s">
        <v>1434</v>
      </c>
      <c r="F13" s="96">
        <v>1</v>
      </c>
      <c r="G13" s="109" t="s">
        <v>2057</v>
      </c>
      <c r="H13" s="96" t="s">
        <v>2056</v>
      </c>
      <c r="I13" s="106">
        <v>30</v>
      </c>
      <c r="J13" s="96">
        <v>0</v>
      </c>
      <c r="K13" s="108">
        <v>40237</v>
      </c>
      <c r="L13" s="108">
        <v>40511</v>
      </c>
      <c r="M13" s="96">
        <v>1</v>
      </c>
      <c r="N13" s="99">
        <v>17</v>
      </c>
      <c r="O13" s="96">
        <v>1</v>
      </c>
      <c r="P13" s="96">
        <v>0</v>
      </c>
      <c r="Q13" s="96">
        <v>1</v>
      </c>
      <c r="R13" s="96">
        <v>0</v>
      </c>
      <c r="S13" s="96">
        <v>0</v>
      </c>
      <c r="T13" s="96">
        <v>0</v>
      </c>
      <c r="U13" s="96">
        <v>0</v>
      </c>
      <c r="V13" s="96">
        <v>0</v>
      </c>
      <c r="W13" s="96">
        <v>1</v>
      </c>
      <c r="X13" s="107">
        <v>0.03</v>
      </c>
      <c r="Y13" s="107">
        <f>AB13/N13</f>
        <v>5.8823529411764705E-2</v>
      </c>
      <c r="Z13" s="96">
        <v>8</v>
      </c>
      <c r="AA13" s="96">
        <v>8</v>
      </c>
      <c r="AB13" s="96">
        <v>1</v>
      </c>
      <c r="AC13" s="96"/>
      <c r="AD13" s="96"/>
      <c r="AE13" s="96"/>
      <c r="AF13" s="96"/>
      <c r="AG13" s="96"/>
      <c r="AH13" s="96"/>
      <c r="AI13" s="96"/>
      <c r="AJ13" s="96"/>
      <c r="AK13" s="67">
        <v>29157</v>
      </c>
      <c r="AL13" s="67">
        <v>29892</v>
      </c>
      <c r="AM13" s="67">
        <v>30564</v>
      </c>
      <c r="AN13" s="67">
        <v>31180</v>
      </c>
      <c r="AO13" s="67">
        <v>32076</v>
      </c>
      <c r="AP13" s="67">
        <v>32783</v>
      </c>
      <c r="AQ13" s="67">
        <v>33371</v>
      </c>
      <c r="AR13" s="67">
        <v>34246</v>
      </c>
      <c r="AS13" s="67">
        <v>34995</v>
      </c>
      <c r="AT13" s="67">
        <v>35716</v>
      </c>
      <c r="AU13" s="67">
        <v>36425</v>
      </c>
      <c r="AV13" s="67">
        <v>37186</v>
      </c>
      <c r="AW13" s="67">
        <v>37893</v>
      </c>
      <c r="AX13" s="67">
        <v>37876</v>
      </c>
      <c r="AY13" s="67">
        <v>39342</v>
      </c>
      <c r="AZ13" s="67">
        <v>40070</v>
      </c>
      <c r="BA13" s="67">
        <v>40728</v>
      </c>
    </row>
    <row r="14" spans="1:53">
      <c r="A14" s="3" t="s">
        <v>632</v>
      </c>
      <c r="B14" s="3" t="s">
        <v>633</v>
      </c>
      <c r="C14" s="3">
        <v>9</v>
      </c>
      <c r="D14" s="3" t="s">
        <v>641</v>
      </c>
      <c r="E14" s="11" t="s">
        <v>1435</v>
      </c>
      <c r="F14" s="96">
        <v>0</v>
      </c>
      <c r="G14" s="109" t="s">
        <v>2058</v>
      </c>
      <c r="H14" s="96" t="s">
        <v>2056</v>
      </c>
      <c r="I14" s="106">
        <v>30</v>
      </c>
      <c r="J14" s="96">
        <v>0</v>
      </c>
      <c r="K14" s="108">
        <v>40237</v>
      </c>
      <c r="L14" s="108">
        <v>40511</v>
      </c>
      <c r="M14" s="96">
        <v>1</v>
      </c>
      <c r="N14" s="99">
        <v>15</v>
      </c>
      <c r="O14" s="96">
        <v>1</v>
      </c>
      <c r="P14" s="96">
        <v>0</v>
      </c>
      <c r="Q14" s="96">
        <v>1</v>
      </c>
      <c r="R14" s="96">
        <v>0</v>
      </c>
      <c r="S14" s="96">
        <v>0</v>
      </c>
      <c r="T14" s="96">
        <v>0</v>
      </c>
      <c r="U14" s="96">
        <v>1</v>
      </c>
      <c r="V14" s="96">
        <v>0</v>
      </c>
      <c r="W14" s="96">
        <v>1</v>
      </c>
      <c r="X14" s="107">
        <v>0.03</v>
      </c>
      <c r="Y14" s="107">
        <v>0</v>
      </c>
      <c r="Z14" s="96">
        <v>10</v>
      </c>
      <c r="AA14" s="96">
        <v>5</v>
      </c>
      <c r="AB14" s="96"/>
      <c r="AC14" s="96"/>
      <c r="AD14" s="96"/>
      <c r="AE14" s="96"/>
      <c r="AF14" s="96"/>
      <c r="AG14" s="96"/>
      <c r="AH14" s="96"/>
      <c r="AI14" s="96"/>
      <c r="AJ14" s="96"/>
      <c r="AK14" s="67">
        <v>29157</v>
      </c>
      <c r="AL14" s="67">
        <v>29892</v>
      </c>
      <c r="AM14" s="67">
        <v>30564</v>
      </c>
      <c r="AN14" s="67">
        <v>31180</v>
      </c>
      <c r="AO14" s="67">
        <v>32027</v>
      </c>
      <c r="AP14" s="67">
        <v>32783</v>
      </c>
      <c r="AQ14" s="67">
        <v>33511</v>
      </c>
      <c r="AR14" s="67">
        <v>34267</v>
      </c>
      <c r="AS14" s="67">
        <v>34967</v>
      </c>
      <c r="AT14" s="67">
        <v>35702</v>
      </c>
      <c r="AU14" s="67">
        <v>36451</v>
      </c>
      <c r="AV14" s="67">
        <v>37186</v>
      </c>
      <c r="AW14" s="67">
        <v>37921</v>
      </c>
      <c r="AX14" s="67">
        <v>38530</v>
      </c>
      <c r="AY14" s="67">
        <v>39377</v>
      </c>
      <c r="AZ14" s="67">
        <v>40112</v>
      </c>
      <c r="BA14" s="67">
        <v>40840</v>
      </c>
    </row>
    <row r="15" spans="1:53">
      <c r="A15" s="3" t="s">
        <v>634</v>
      </c>
      <c r="B15" s="3" t="s">
        <v>715</v>
      </c>
      <c r="C15" s="3">
        <v>10</v>
      </c>
      <c r="D15" s="3" t="s">
        <v>664</v>
      </c>
      <c r="E15" s="11" t="s">
        <v>1435</v>
      </c>
      <c r="F15" s="96">
        <v>0</v>
      </c>
      <c r="G15" s="109" t="s">
        <v>2058</v>
      </c>
      <c r="H15" s="96" t="s">
        <v>2056</v>
      </c>
      <c r="I15" s="106">
        <v>48</v>
      </c>
      <c r="J15" s="96">
        <v>0</v>
      </c>
      <c r="K15" s="108">
        <v>40268</v>
      </c>
      <c r="L15" s="108">
        <v>40511</v>
      </c>
      <c r="M15" s="96">
        <v>1</v>
      </c>
      <c r="N15" s="99">
        <v>24</v>
      </c>
      <c r="O15" s="96">
        <v>1</v>
      </c>
      <c r="P15" s="96">
        <v>0</v>
      </c>
      <c r="Q15" s="96">
        <v>1</v>
      </c>
      <c r="R15" s="96">
        <v>0</v>
      </c>
      <c r="S15" s="96">
        <v>0</v>
      </c>
      <c r="T15" s="96">
        <v>0</v>
      </c>
      <c r="U15" s="96">
        <v>0</v>
      </c>
      <c r="V15" s="96">
        <v>1</v>
      </c>
      <c r="W15" s="96">
        <v>1</v>
      </c>
      <c r="X15" s="107">
        <v>0.05</v>
      </c>
      <c r="Y15" s="107">
        <v>0</v>
      </c>
      <c r="Z15" s="96">
        <v>10</v>
      </c>
      <c r="AA15" s="96">
        <v>10</v>
      </c>
      <c r="AB15" s="96">
        <v>4</v>
      </c>
      <c r="AC15" s="96"/>
      <c r="AD15" s="96"/>
      <c r="AE15" s="96"/>
      <c r="AF15" s="96"/>
      <c r="AG15" s="96"/>
      <c r="AH15" s="96"/>
      <c r="AI15" s="96"/>
      <c r="AJ15" s="96"/>
      <c r="AK15" s="67">
        <v>29157</v>
      </c>
      <c r="AL15" s="67">
        <v>29892</v>
      </c>
      <c r="AM15" s="67">
        <v>30564</v>
      </c>
      <c r="AN15" s="67">
        <v>31180</v>
      </c>
      <c r="AO15" s="67">
        <v>32027</v>
      </c>
      <c r="AP15" s="67">
        <v>32783</v>
      </c>
      <c r="AQ15" s="67">
        <v>33511</v>
      </c>
      <c r="AR15" s="67">
        <v>34267</v>
      </c>
      <c r="AS15" s="67">
        <v>34995</v>
      </c>
      <c r="AT15" s="67">
        <v>35716</v>
      </c>
      <c r="AU15" s="67">
        <v>36416</v>
      </c>
      <c r="AV15" s="67">
        <v>37186</v>
      </c>
      <c r="AW15" s="67">
        <v>37921</v>
      </c>
      <c r="AX15" s="67">
        <v>38530</v>
      </c>
      <c r="AY15" s="67">
        <v>39377</v>
      </c>
      <c r="AZ15" s="67">
        <v>40112</v>
      </c>
      <c r="BA15" s="67">
        <v>40840</v>
      </c>
    </row>
    <row r="16" spans="1:53">
      <c r="A16" s="3" t="s">
        <v>718</v>
      </c>
      <c r="B16" s="3" t="s">
        <v>719</v>
      </c>
      <c r="C16" s="3">
        <v>12</v>
      </c>
      <c r="D16" s="3" t="s">
        <v>664</v>
      </c>
      <c r="E16" s="11" t="s">
        <v>1435</v>
      </c>
      <c r="F16" s="96">
        <v>0</v>
      </c>
      <c r="G16" s="109" t="s">
        <v>2058</v>
      </c>
      <c r="H16" s="96" t="s">
        <v>2056</v>
      </c>
      <c r="I16" s="106">
        <v>36</v>
      </c>
      <c r="J16" s="96">
        <v>0</v>
      </c>
      <c r="K16" s="108">
        <v>40237</v>
      </c>
      <c r="L16" s="108">
        <v>40526</v>
      </c>
      <c r="M16" s="96">
        <v>18</v>
      </c>
      <c r="N16" s="99">
        <f>I16/M16</f>
        <v>2</v>
      </c>
      <c r="O16" s="96">
        <v>0</v>
      </c>
      <c r="P16" s="96">
        <v>0</v>
      </c>
      <c r="Q16" s="96">
        <v>1</v>
      </c>
      <c r="R16" s="96">
        <v>1</v>
      </c>
      <c r="S16" s="111">
        <f>12/36</f>
        <v>0.33333333333333331</v>
      </c>
      <c r="T16" s="96">
        <v>0</v>
      </c>
      <c r="U16" s="96">
        <v>0</v>
      </c>
      <c r="V16" s="96">
        <v>1</v>
      </c>
      <c r="W16" s="96">
        <v>1</v>
      </c>
      <c r="X16" s="107">
        <v>0.03</v>
      </c>
      <c r="Y16" s="107"/>
      <c r="Z16" s="96"/>
      <c r="AA16" s="96"/>
      <c r="AB16" s="96"/>
      <c r="AC16" s="96"/>
      <c r="AD16" s="96"/>
      <c r="AE16" s="96"/>
      <c r="AF16" s="96"/>
      <c r="AG16" s="96"/>
      <c r="AH16" s="96"/>
      <c r="AI16" s="96"/>
      <c r="AJ16" s="96"/>
      <c r="AK16" s="67">
        <v>29157</v>
      </c>
      <c r="AL16" s="67">
        <v>29892</v>
      </c>
      <c r="AM16" s="67">
        <v>30564</v>
      </c>
      <c r="AN16" s="67">
        <v>31180</v>
      </c>
      <c r="AO16" s="67">
        <v>32076</v>
      </c>
      <c r="AP16" s="67">
        <v>32783</v>
      </c>
      <c r="AQ16" s="67">
        <v>33371</v>
      </c>
      <c r="AR16" s="67">
        <v>34267</v>
      </c>
      <c r="AS16" s="67">
        <v>34953</v>
      </c>
      <c r="AT16" s="67">
        <v>35716</v>
      </c>
      <c r="AU16" s="67">
        <v>36276</v>
      </c>
      <c r="AV16" s="67">
        <v>37186</v>
      </c>
      <c r="AW16" s="67">
        <v>37921</v>
      </c>
      <c r="AX16" s="67">
        <v>38530</v>
      </c>
      <c r="AY16" s="67">
        <v>39230</v>
      </c>
      <c r="AZ16" s="67">
        <v>40112</v>
      </c>
      <c r="BA16" s="67">
        <v>40728</v>
      </c>
    </row>
    <row r="17" spans="1:53">
      <c r="A17" s="3" t="s">
        <v>711</v>
      </c>
      <c r="B17" s="3" t="s">
        <v>712</v>
      </c>
      <c r="C17" s="3">
        <v>13</v>
      </c>
      <c r="D17" s="3" t="s">
        <v>713</v>
      </c>
      <c r="E17" s="11" t="s">
        <v>1434</v>
      </c>
      <c r="F17" s="96">
        <v>1</v>
      </c>
      <c r="G17" s="109" t="s">
        <v>2057</v>
      </c>
      <c r="H17" s="96" t="s">
        <v>2056</v>
      </c>
      <c r="I17" s="106">
        <v>48</v>
      </c>
      <c r="J17" s="96">
        <v>0</v>
      </c>
      <c r="K17" s="108">
        <v>40298</v>
      </c>
      <c r="L17" s="108">
        <v>40450</v>
      </c>
      <c r="M17" s="96">
        <v>4</v>
      </c>
      <c r="N17" s="99">
        <f>(8+6+5+5)/4</f>
        <v>6</v>
      </c>
      <c r="O17" s="96">
        <v>1</v>
      </c>
      <c r="P17" s="96">
        <v>0</v>
      </c>
      <c r="Q17" s="96">
        <v>1</v>
      </c>
      <c r="R17" s="96">
        <v>0</v>
      </c>
      <c r="S17" s="96">
        <v>0</v>
      </c>
      <c r="T17" s="96">
        <v>0</v>
      </c>
      <c r="U17" s="96">
        <v>0</v>
      </c>
      <c r="V17" s="96">
        <v>1</v>
      </c>
      <c r="W17" s="96">
        <v>1</v>
      </c>
      <c r="X17" s="107">
        <v>0.03</v>
      </c>
      <c r="Y17" s="107">
        <v>0</v>
      </c>
      <c r="Z17" s="96">
        <v>13</v>
      </c>
      <c r="AA17" s="96">
        <v>8</v>
      </c>
      <c r="AB17" s="96">
        <v>3</v>
      </c>
      <c r="AC17" s="96"/>
      <c r="AD17" s="96"/>
      <c r="AE17" s="96"/>
      <c r="AF17" s="96"/>
      <c r="AG17" s="96"/>
      <c r="AH17" s="96"/>
      <c r="AI17" s="96"/>
      <c r="AJ17" s="96"/>
      <c r="AK17" s="67">
        <v>29157</v>
      </c>
      <c r="AL17" s="67">
        <v>29892</v>
      </c>
      <c r="AM17" s="67">
        <v>30564</v>
      </c>
      <c r="AN17" s="67">
        <v>31180</v>
      </c>
      <c r="AO17" s="67">
        <v>32027</v>
      </c>
      <c r="AP17" s="67">
        <v>32783</v>
      </c>
      <c r="AQ17" s="67">
        <v>33371</v>
      </c>
      <c r="AR17" s="67">
        <v>34267</v>
      </c>
      <c r="AS17" s="67">
        <v>34995</v>
      </c>
      <c r="AT17" s="67">
        <v>35716</v>
      </c>
      <c r="AU17" s="67">
        <v>36458</v>
      </c>
      <c r="AV17" s="67">
        <v>37186</v>
      </c>
      <c r="AW17" s="67">
        <v>37921</v>
      </c>
      <c r="AX17" s="67">
        <v>38530</v>
      </c>
      <c r="AY17" s="67">
        <v>39377</v>
      </c>
      <c r="AZ17" s="67">
        <v>40112</v>
      </c>
      <c r="BA17" s="67">
        <v>40714</v>
      </c>
    </row>
    <row r="18" spans="1:53">
      <c r="A18" s="3" t="s">
        <v>714</v>
      </c>
      <c r="B18" s="3" t="s">
        <v>530</v>
      </c>
      <c r="C18" s="3">
        <v>14</v>
      </c>
      <c r="D18" s="3" t="s">
        <v>641</v>
      </c>
      <c r="E18" s="11" t="s">
        <v>1435</v>
      </c>
      <c r="F18" s="96">
        <v>0</v>
      </c>
      <c r="G18" s="109" t="s">
        <v>2062</v>
      </c>
      <c r="H18" s="96" t="s">
        <v>2056</v>
      </c>
      <c r="I18" s="106">
        <v>40</v>
      </c>
      <c r="J18" s="96">
        <v>0</v>
      </c>
      <c r="K18" s="108">
        <v>40298</v>
      </c>
      <c r="L18" s="108">
        <v>40481</v>
      </c>
      <c r="M18" s="96">
        <v>1</v>
      </c>
      <c r="N18" s="99">
        <v>20</v>
      </c>
      <c r="O18" s="96">
        <v>1</v>
      </c>
      <c r="P18" s="96">
        <v>0</v>
      </c>
      <c r="Q18" s="96">
        <v>1</v>
      </c>
      <c r="R18" s="96">
        <v>0</v>
      </c>
      <c r="S18" s="96">
        <v>0</v>
      </c>
      <c r="T18" s="96">
        <v>0</v>
      </c>
      <c r="U18" s="96">
        <v>0</v>
      </c>
      <c r="V18" s="96">
        <v>0</v>
      </c>
      <c r="W18" s="96">
        <v>1</v>
      </c>
      <c r="X18" s="107">
        <v>0</v>
      </c>
      <c r="Y18" s="107">
        <f>6/20</f>
        <v>0.3</v>
      </c>
      <c r="Z18" s="96">
        <v>9</v>
      </c>
      <c r="AA18" s="96">
        <v>5</v>
      </c>
      <c r="AB18" s="96">
        <v>2</v>
      </c>
      <c r="AC18" s="96">
        <v>1</v>
      </c>
      <c r="AD18" s="96">
        <v>1</v>
      </c>
      <c r="AE18" s="96">
        <v>1</v>
      </c>
      <c r="AF18" s="96">
        <v>1</v>
      </c>
      <c r="AG18" s="96"/>
      <c r="AH18" s="96"/>
      <c r="AI18" s="96"/>
      <c r="AJ18" s="96"/>
      <c r="AK18" s="67">
        <v>29157</v>
      </c>
      <c r="AL18" s="67">
        <v>29892</v>
      </c>
      <c r="AM18" s="67">
        <v>30564</v>
      </c>
      <c r="AN18" s="67">
        <v>31180</v>
      </c>
      <c r="AO18" s="67">
        <v>32027</v>
      </c>
      <c r="AP18" s="67">
        <v>32783</v>
      </c>
      <c r="AQ18" s="67">
        <v>33371</v>
      </c>
      <c r="AR18" s="67">
        <v>34267</v>
      </c>
      <c r="AS18" s="67">
        <v>34953</v>
      </c>
      <c r="AT18" s="67">
        <v>35716</v>
      </c>
      <c r="AU18" s="67">
        <v>36430</v>
      </c>
      <c r="AV18" s="67">
        <v>37186</v>
      </c>
      <c r="AW18" s="67">
        <v>37921</v>
      </c>
      <c r="AX18" s="67">
        <v>38530</v>
      </c>
      <c r="AY18" s="67">
        <v>39258</v>
      </c>
      <c r="AZ18" s="67">
        <v>39993</v>
      </c>
      <c r="BA18" s="67">
        <v>40840</v>
      </c>
    </row>
    <row r="19" spans="1:53">
      <c r="A19" s="3" t="s">
        <v>926</v>
      </c>
      <c r="B19" s="3" t="s">
        <v>927</v>
      </c>
      <c r="C19" s="3">
        <v>17</v>
      </c>
      <c r="D19" s="3" t="s">
        <v>664</v>
      </c>
      <c r="E19" s="11" t="s">
        <v>1434</v>
      </c>
      <c r="F19" s="96">
        <v>1</v>
      </c>
      <c r="G19" s="109" t="s">
        <v>2057</v>
      </c>
      <c r="H19" s="96" t="s">
        <v>2056</v>
      </c>
      <c r="I19" s="110">
        <v>60</v>
      </c>
      <c r="J19" s="96">
        <v>0</v>
      </c>
      <c r="K19" s="108">
        <v>40268</v>
      </c>
      <c r="L19" s="108">
        <v>40511</v>
      </c>
      <c r="M19" s="96">
        <v>23</v>
      </c>
      <c r="N19" s="99">
        <f>I19/M19</f>
        <v>2.6086956521739131</v>
      </c>
      <c r="O19" s="96">
        <v>0</v>
      </c>
      <c r="P19" s="96">
        <v>0</v>
      </c>
      <c r="Q19" s="96">
        <v>1</v>
      </c>
      <c r="R19" s="96">
        <v>1</v>
      </c>
      <c r="S19" s="107">
        <f>13/I19</f>
        <v>0.21666666666666667</v>
      </c>
      <c r="T19" s="96">
        <v>0</v>
      </c>
      <c r="U19" s="96">
        <v>0</v>
      </c>
      <c r="V19" s="96">
        <v>0</v>
      </c>
      <c r="W19" s="96">
        <v>1</v>
      </c>
      <c r="X19" s="107">
        <v>0.05</v>
      </c>
      <c r="Y19" s="107">
        <f>8/30</f>
        <v>0.26666666666666666</v>
      </c>
      <c r="Z19" s="96">
        <v>11</v>
      </c>
      <c r="AA19" s="96">
        <v>4</v>
      </c>
      <c r="AB19" s="96">
        <v>4</v>
      </c>
      <c r="AC19" s="96">
        <v>3</v>
      </c>
      <c r="AD19" s="96">
        <v>2</v>
      </c>
      <c r="AE19" s="96">
        <v>2</v>
      </c>
      <c r="AF19" s="96">
        <v>2</v>
      </c>
      <c r="AG19" s="96">
        <v>1</v>
      </c>
      <c r="AH19" s="96">
        <v>1</v>
      </c>
      <c r="AI19" s="96"/>
      <c r="AJ19" s="96"/>
      <c r="AK19" s="67">
        <v>29157</v>
      </c>
      <c r="AL19" s="67">
        <v>29892</v>
      </c>
      <c r="AM19" s="67">
        <v>30564</v>
      </c>
      <c r="AN19" s="67">
        <v>31180</v>
      </c>
      <c r="AO19" s="67">
        <v>32076</v>
      </c>
      <c r="AP19" s="67">
        <v>32783</v>
      </c>
      <c r="AQ19" s="67">
        <v>33511</v>
      </c>
      <c r="AR19" s="67">
        <v>34267</v>
      </c>
      <c r="AS19" s="67">
        <v>34827</v>
      </c>
      <c r="AT19" s="67">
        <v>35716</v>
      </c>
      <c r="AU19" s="67">
        <v>36479</v>
      </c>
      <c r="AV19" s="67">
        <v>37186</v>
      </c>
      <c r="AW19" s="67">
        <v>37921</v>
      </c>
      <c r="AX19" s="67">
        <v>38621</v>
      </c>
      <c r="AY19" s="67">
        <v>39181</v>
      </c>
      <c r="AZ19" s="67">
        <v>40126</v>
      </c>
      <c r="BA19" s="67">
        <v>40679</v>
      </c>
    </row>
    <row r="20" spans="1:53">
      <c r="A20" s="3" t="s">
        <v>841</v>
      </c>
      <c r="B20" s="3" t="s">
        <v>659</v>
      </c>
      <c r="C20" s="3">
        <v>19</v>
      </c>
      <c r="D20" s="3" t="s">
        <v>713</v>
      </c>
      <c r="E20" s="11" t="s">
        <v>1433</v>
      </c>
      <c r="F20" s="96">
        <v>1</v>
      </c>
      <c r="G20" s="109" t="s">
        <v>2057</v>
      </c>
      <c r="H20" s="96" t="s">
        <v>2061</v>
      </c>
      <c r="I20" s="106">
        <v>43</v>
      </c>
      <c r="J20" s="96">
        <v>0</v>
      </c>
      <c r="K20" s="108">
        <v>40268</v>
      </c>
      <c r="L20" s="108">
        <v>40511</v>
      </c>
      <c r="M20" s="96">
        <v>9</v>
      </c>
      <c r="N20" s="99">
        <f>I20/M20</f>
        <v>4.7777777777777777</v>
      </c>
      <c r="O20" s="96">
        <v>1</v>
      </c>
      <c r="P20" s="96">
        <v>0</v>
      </c>
      <c r="Q20" s="96">
        <v>1</v>
      </c>
      <c r="R20" s="96">
        <v>0</v>
      </c>
      <c r="S20" s="96">
        <v>0</v>
      </c>
      <c r="T20" s="96">
        <v>0</v>
      </c>
      <c r="U20" s="96">
        <v>0</v>
      </c>
      <c r="V20" s="96">
        <v>1</v>
      </c>
      <c r="W20" s="96">
        <v>1</v>
      </c>
      <c r="X20" s="107">
        <v>0.03</v>
      </c>
      <c r="Y20" s="107">
        <f>1/43</f>
        <v>2.3255813953488372E-2</v>
      </c>
      <c r="Z20" s="96">
        <v>10</v>
      </c>
      <c r="AA20" s="96">
        <v>6</v>
      </c>
      <c r="AB20" s="96">
        <v>5</v>
      </c>
      <c r="AC20" s="96">
        <v>1</v>
      </c>
      <c r="AD20" s="96"/>
      <c r="AE20" s="96"/>
      <c r="AF20" s="96"/>
      <c r="AG20" s="96"/>
      <c r="AH20" s="96"/>
      <c r="AI20" s="96"/>
      <c r="AJ20" s="96"/>
      <c r="AK20" s="67">
        <v>29157</v>
      </c>
      <c r="AL20" s="67">
        <v>29892</v>
      </c>
      <c r="AM20" s="67">
        <v>30564</v>
      </c>
      <c r="AN20" s="67">
        <v>31180</v>
      </c>
      <c r="AO20" s="67">
        <v>31999</v>
      </c>
      <c r="AP20" s="67">
        <v>32783</v>
      </c>
      <c r="AQ20" s="67">
        <v>33371</v>
      </c>
      <c r="AR20" s="67">
        <v>34267</v>
      </c>
      <c r="AS20" s="67">
        <v>34953</v>
      </c>
      <c r="AT20" s="67">
        <v>35716</v>
      </c>
      <c r="AU20" s="67">
        <v>36486</v>
      </c>
      <c r="AV20" s="67">
        <v>37186</v>
      </c>
      <c r="AW20" s="67">
        <v>37851</v>
      </c>
      <c r="AX20" s="67">
        <v>38530</v>
      </c>
      <c r="AY20" s="67">
        <v>39377</v>
      </c>
      <c r="AZ20" s="67">
        <v>40112</v>
      </c>
      <c r="BA20" s="67">
        <v>40840</v>
      </c>
    </row>
    <row r="21" spans="1:53">
      <c r="A21" s="3" t="s">
        <v>721</v>
      </c>
      <c r="B21" s="3" t="s">
        <v>722</v>
      </c>
      <c r="C21" s="3">
        <v>22</v>
      </c>
      <c r="D21" s="3" t="s">
        <v>664</v>
      </c>
      <c r="E21" s="11" t="s">
        <v>1435</v>
      </c>
      <c r="F21" s="96">
        <v>0</v>
      </c>
      <c r="G21" s="109" t="s">
        <v>2059</v>
      </c>
      <c r="H21" s="96" t="s">
        <v>2056</v>
      </c>
      <c r="I21" s="106">
        <v>40</v>
      </c>
      <c r="J21" s="96">
        <v>0</v>
      </c>
      <c r="K21" s="108">
        <v>40223</v>
      </c>
      <c r="L21" s="108">
        <v>40526</v>
      </c>
      <c r="M21" s="96">
        <v>1</v>
      </c>
      <c r="N21" s="99">
        <v>40</v>
      </c>
      <c r="O21" s="96">
        <v>1</v>
      </c>
      <c r="P21" s="96">
        <v>0</v>
      </c>
      <c r="Q21" s="96">
        <v>1</v>
      </c>
      <c r="R21" s="96">
        <v>0</v>
      </c>
      <c r="S21" s="96">
        <v>0</v>
      </c>
      <c r="T21" s="96">
        <v>0</v>
      </c>
      <c r="U21" s="96">
        <v>0</v>
      </c>
      <c r="V21" s="96">
        <v>1</v>
      </c>
      <c r="W21" s="96">
        <v>1</v>
      </c>
      <c r="X21" s="107">
        <v>0.02</v>
      </c>
      <c r="Y21" s="107">
        <f>4/40</f>
        <v>0.1</v>
      </c>
      <c r="Z21" s="96">
        <v>33</v>
      </c>
      <c r="AA21" s="96">
        <v>3</v>
      </c>
      <c r="AB21" s="96">
        <v>1</v>
      </c>
      <c r="AC21" s="96">
        <v>1</v>
      </c>
      <c r="AD21" s="96">
        <v>1</v>
      </c>
      <c r="AE21" s="96">
        <v>1</v>
      </c>
      <c r="AF21" s="96"/>
      <c r="AG21" s="96"/>
      <c r="AH21" s="96"/>
      <c r="AI21" s="96"/>
      <c r="AJ21" s="96"/>
      <c r="AK21" s="67">
        <v>29157</v>
      </c>
      <c r="AL21" s="67">
        <v>29892</v>
      </c>
      <c r="AM21" s="67">
        <v>30564</v>
      </c>
      <c r="AN21" s="67">
        <v>31180</v>
      </c>
      <c r="AO21" s="67">
        <v>32076</v>
      </c>
      <c r="AP21" s="67">
        <v>32783</v>
      </c>
      <c r="AQ21" s="67">
        <v>33371</v>
      </c>
      <c r="AR21" s="67">
        <v>34267</v>
      </c>
      <c r="AS21" s="67">
        <v>34932</v>
      </c>
      <c r="AT21" s="67">
        <v>35716</v>
      </c>
      <c r="AU21" s="69" t="s">
        <v>1422</v>
      </c>
      <c r="AV21" s="67">
        <v>36948</v>
      </c>
      <c r="AW21" s="67"/>
      <c r="AX21" s="69" t="s">
        <v>1518</v>
      </c>
      <c r="AY21" s="69"/>
      <c r="AZ21" s="67">
        <v>40112</v>
      </c>
      <c r="BA21" s="67" t="s">
        <v>3343</v>
      </c>
    </row>
    <row r="22" spans="1:53">
      <c r="E22" s="11"/>
      <c r="F22" s="96"/>
      <c r="G22" s="109"/>
      <c r="H22" s="96"/>
      <c r="I22" s="106"/>
      <c r="J22" s="96"/>
      <c r="K22" s="108"/>
      <c r="L22" s="108"/>
      <c r="M22" s="96"/>
      <c r="N22" s="99"/>
      <c r="O22" s="96"/>
      <c r="P22" s="96"/>
      <c r="Q22" s="96"/>
      <c r="R22" s="96"/>
      <c r="S22" s="96"/>
      <c r="T22" s="96"/>
      <c r="U22" s="96"/>
      <c r="V22" s="96"/>
      <c r="W22" s="96"/>
      <c r="X22" s="107"/>
      <c r="Y22" s="107"/>
      <c r="Z22" s="96"/>
      <c r="AA22" s="96"/>
      <c r="AB22" s="96"/>
      <c r="AC22" s="96"/>
      <c r="AD22" s="96"/>
      <c r="AE22" s="96"/>
      <c r="AF22" s="96"/>
      <c r="AG22" s="96"/>
      <c r="AH22" s="96"/>
      <c r="AI22" s="96"/>
      <c r="AJ22" s="96"/>
      <c r="AK22" s="67"/>
      <c r="AL22" s="67"/>
      <c r="AM22" s="67"/>
      <c r="AN22" s="67"/>
      <c r="AO22" s="67"/>
      <c r="AP22" s="67"/>
      <c r="AQ22" s="67"/>
      <c r="AR22" s="67"/>
      <c r="AS22" s="67"/>
      <c r="AT22" s="67"/>
      <c r="AU22" s="69"/>
      <c r="AV22" s="67"/>
      <c r="AW22" s="67"/>
      <c r="AX22" s="69"/>
      <c r="AY22" s="69"/>
      <c r="AZ22" s="67"/>
      <c r="BA22" s="67"/>
    </row>
    <row r="23" spans="1:53">
      <c r="A23" s="3" t="s">
        <v>539</v>
      </c>
      <c r="B23" s="3" t="s">
        <v>540</v>
      </c>
      <c r="C23" s="3">
        <v>5</v>
      </c>
      <c r="D23" s="3" t="s">
        <v>541</v>
      </c>
      <c r="E23" s="11" t="s">
        <v>1435</v>
      </c>
      <c r="F23" s="96">
        <v>0</v>
      </c>
      <c r="G23" s="109" t="s">
        <v>2058</v>
      </c>
      <c r="H23" s="96" t="s">
        <v>2060</v>
      </c>
      <c r="I23" s="106">
        <v>27</v>
      </c>
      <c r="J23" s="96">
        <v>1</v>
      </c>
      <c r="K23" s="108">
        <v>40237</v>
      </c>
      <c r="L23" s="108">
        <v>40526</v>
      </c>
      <c r="M23" s="96">
        <v>1</v>
      </c>
      <c r="N23" s="99">
        <v>27</v>
      </c>
      <c r="O23" s="96">
        <v>0</v>
      </c>
      <c r="P23" s="96">
        <v>1</v>
      </c>
      <c r="Q23" s="96">
        <v>1</v>
      </c>
      <c r="R23" s="96">
        <v>0</v>
      </c>
      <c r="S23" s="96">
        <v>0</v>
      </c>
      <c r="T23" s="96">
        <v>0</v>
      </c>
      <c r="U23" s="96">
        <v>0</v>
      </c>
      <c r="V23" s="96">
        <v>0</v>
      </c>
      <c r="W23" s="96">
        <v>1</v>
      </c>
      <c r="X23" s="107">
        <v>0</v>
      </c>
      <c r="Y23" s="107">
        <f>2/27</f>
        <v>7.407407407407407E-2</v>
      </c>
      <c r="Z23" s="96">
        <v>16</v>
      </c>
      <c r="AA23" s="96">
        <v>9</v>
      </c>
      <c r="AB23" s="96">
        <v>2</v>
      </c>
      <c r="AC23" s="96"/>
      <c r="AD23" s="96"/>
      <c r="AE23" s="96"/>
      <c r="AF23" s="96"/>
      <c r="AG23" s="96"/>
      <c r="AH23" s="96"/>
      <c r="AI23" s="96"/>
      <c r="AJ23" s="96"/>
      <c r="AK23" s="67">
        <v>29157</v>
      </c>
      <c r="AL23" s="67"/>
      <c r="AM23" s="67">
        <v>30564</v>
      </c>
      <c r="AN23" s="67"/>
      <c r="AO23" s="67">
        <v>32027</v>
      </c>
      <c r="AP23" s="67"/>
      <c r="AQ23" s="67">
        <v>33371</v>
      </c>
      <c r="AR23" s="67"/>
      <c r="AS23" s="67">
        <v>34995</v>
      </c>
      <c r="AT23" s="67"/>
      <c r="AU23" s="67">
        <v>36472</v>
      </c>
      <c r="AV23" s="67"/>
      <c r="AW23" s="67">
        <v>37879</v>
      </c>
      <c r="AX23" s="67"/>
      <c r="AY23" s="67">
        <v>39230</v>
      </c>
      <c r="AZ23" s="67"/>
      <c r="BA23" s="67">
        <v>40840</v>
      </c>
    </row>
    <row r="24" spans="1:53">
      <c r="A24" s="3" t="s">
        <v>542</v>
      </c>
      <c r="B24" s="3" t="s">
        <v>543</v>
      </c>
      <c r="C24" s="3">
        <v>6</v>
      </c>
      <c r="D24" s="3" t="s">
        <v>759</v>
      </c>
      <c r="E24" s="11" t="s">
        <v>1824</v>
      </c>
      <c r="F24" s="96">
        <v>0</v>
      </c>
      <c r="G24" s="109" t="s">
        <v>2059</v>
      </c>
      <c r="H24" s="96" t="s">
        <v>2061</v>
      </c>
      <c r="I24" s="110">
        <v>70</v>
      </c>
      <c r="J24" s="96">
        <v>1</v>
      </c>
      <c r="K24" s="108">
        <v>40209</v>
      </c>
      <c r="L24" s="108">
        <v>40541</v>
      </c>
      <c r="M24" s="96">
        <v>27</v>
      </c>
      <c r="N24" s="99">
        <f>I24/M24</f>
        <v>2.5925925925925926</v>
      </c>
      <c r="O24" s="96">
        <v>0</v>
      </c>
      <c r="P24" s="96">
        <v>0</v>
      </c>
      <c r="Q24" s="96">
        <v>1</v>
      </c>
      <c r="R24" s="96">
        <v>1</v>
      </c>
      <c r="S24" s="107">
        <f>26/70</f>
        <v>0.37142857142857144</v>
      </c>
      <c r="T24" s="96">
        <v>1</v>
      </c>
      <c r="U24" s="96">
        <v>0</v>
      </c>
      <c r="V24" s="96">
        <v>0</v>
      </c>
      <c r="W24" s="96">
        <v>1</v>
      </c>
      <c r="X24" s="107">
        <v>0</v>
      </c>
      <c r="Y24" s="107">
        <f>2/70</f>
        <v>2.8571428571428571E-2</v>
      </c>
      <c r="Z24" s="96">
        <v>44</v>
      </c>
      <c r="AA24" s="96">
        <v>13</v>
      </c>
      <c r="AB24" s="96">
        <v>11</v>
      </c>
      <c r="AC24" s="96">
        <v>1</v>
      </c>
      <c r="AD24" s="96">
        <v>1</v>
      </c>
      <c r="AE24" s="96"/>
      <c r="AF24" s="96"/>
      <c r="AG24" s="96"/>
      <c r="AH24" s="96"/>
      <c r="AI24" s="96"/>
      <c r="AJ24" s="96"/>
      <c r="AK24" s="67">
        <v>29157</v>
      </c>
      <c r="AL24" s="67">
        <v>29892</v>
      </c>
      <c r="AM24" s="67">
        <v>30564</v>
      </c>
      <c r="AN24" s="67"/>
      <c r="AO24" s="67">
        <v>32027</v>
      </c>
      <c r="AP24" s="67"/>
      <c r="AQ24" s="67">
        <v>33371</v>
      </c>
      <c r="AR24" s="67"/>
      <c r="AS24" s="67">
        <v>34981</v>
      </c>
      <c r="AT24" s="67">
        <v>35716</v>
      </c>
      <c r="AU24" s="67">
        <v>36437</v>
      </c>
      <c r="AV24" s="67"/>
      <c r="AW24" s="67">
        <v>37865</v>
      </c>
      <c r="AX24" s="67"/>
      <c r="AY24" s="67">
        <v>39300</v>
      </c>
      <c r="AZ24" s="67"/>
      <c r="BA24" s="67">
        <v>40728</v>
      </c>
    </row>
    <row r="25" spans="1:53">
      <c r="A25" s="3" t="s">
        <v>630</v>
      </c>
      <c r="B25" s="3" t="s">
        <v>631</v>
      </c>
      <c r="C25" s="3">
        <v>8</v>
      </c>
      <c r="D25" s="3" t="s">
        <v>759</v>
      </c>
      <c r="E25" s="11" t="s">
        <v>1434</v>
      </c>
      <c r="F25" s="96">
        <v>1</v>
      </c>
      <c r="G25" s="109" t="s">
        <v>2057</v>
      </c>
      <c r="H25" s="96" t="s">
        <v>2060</v>
      </c>
      <c r="I25" s="106">
        <v>34</v>
      </c>
      <c r="J25" s="96">
        <v>1</v>
      </c>
      <c r="K25" s="108">
        <v>40223</v>
      </c>
      <c r="L25" s="108">
        <v>40526</v>
      </c>
      <c r="M25" s="96">
        <v>1</v>
      </c>
      <c r="N25" s="99">
        <v>34</v>
      </c>
      <c r="O25" s="96">
        <v>0</v>
      </c>
      <c r="P25" s="96">
        <v>1</v>
      </c>
      <c r="Q25" s="96">
        <v>1</v>
      </c>
      <c r="R25" s="96">
        <v>0</v>
      </c>
      <c r="S25" s="96">
        <v>0</v>
      </c>
      <c r="T25" s="96">
        <v>0</v>
      </c>
      <c r="U25" s="96">
        <v>0</v>
      </c>
      <c r="V25" s="96">
        <v>1</v>
      </c>
      <c r="W25" s="96">
        <v>1</v>
      </c>
      <c r="X25" s="107">
        <v>0</v>
      </c>
      <c r="Y25" s="107">
        <f>2/34</f>
        <v>5.8823529411764705E-2</v>
      </c>
      <c r="Z25" s="96">
        <v>19</v>
      </c>
      <c r="AA25" s="96">
        <v>7</v>
      </c>
      <c r="AB25" s="96">
        <v>6</v>
      </c>
      <c r="AC25" s="96">
        <v>2</v>
      </c>
      <c r="AD25" s="96"/>
      <c r="AE25" s="96"/>
      <c r="AF25" s="96"/>
      <c r="AG25" s="96"/>
      <c r="AH25" s="96"/>
      <c r="AI25" s="96"/>
      <c r="AJ25" s="96"/>
      <c r="AK25" s="67">
        <v>29157</v>
      </c>
      <c r="AL25" s="67"/>
      <c r="AM25" s="67">
        <v>30564</v>
      </c>
      <c r="AN25" s="67"/>
      <c r="AO25" s="67">
        <v>32027</v>
      </c>
      <c r="AP25" s="67"/>
      <c r="AQ25" s="67">
        <v>33371</v>
      </c>
      <c r="AR25" s="11"/>
      <c r="AS25" s="67">
        <v>34995</v>
      </c>
      <c r="AT25" s="67"/>
      <c r="AU25" s="67">
        <v>36486</v>
      </c>
      <c r="AV25" s="67"/>
      <c r="AW25" s="67">
        <v>37697</v>
      </c>
      <c r="AX25" s="67"/>
      <c r="AY25" s="67">
        <v>39377</v>
      </c>
      <c r="AZ25" s="67"/>
      <c r="BA25" s="67">
        <v>40840</v>
      </c>
    </row>
    <row r="26" spans="1:53">
      <c r="A26" s="3" t="s">
        <v>716</v>
      </c>
      <c r="B26" s="3" t="s">
        <v>717</v>
      </c>
      <c r="C26" s="3">
        <v>11</v>
      </c>
      <c r="D26" s="3" t="s">
        <v>541</v>
      </c>
      <c r="E26" s="11" t="s">
        <v>1435</v>
      </c>
      <c r="F26" s="96">
        <v>0</v>
      </c>
      <c r="G26" s="109" t="s">
        <v>2057</v>
      </c>
      <c r="H26" s="96" t="s">
        <v>2056</v>
      </c>
      <c r="I26" s="106">
        <v>30</v>
      </c>
      <c r="J26" s="96">
        <v>1</v>
      </c>
      <c r="K26" s="108">
        <v>40237</v>
      </c>
      <c r="L26" s="108">
        <v>40511</v>
      </c>
      <c r="M26" s="96">
        <v>1</v>
      </c>
      <c r="N26" s="99">
        <v>30</v>
      </c>
      <c r="O26" s="96">
        <v>1</v>
      </c>
      <c r="P26" s="96">
        <v>0</v>
      </c>
      <c r="Q26" s="96">
        <v>1</v>
      </c>
      <c r="R26" s="96">
        <v>0</v>
      </c>
      <c r="S26" s="96">
        <v>0</v>
      </c>
      <c r="T26" s="96">
        <v>0</v>
      </c>
      <c r="U26" s="96">
        <v>0</v>
      </c>
      <c r="V26" s="96">
        <v>1</v>
      </c>
      <c r="W26" s="96">
        <v>1</v>
      </c>
      <c r="X26" s="107">
        <v>0.03</v>
      </c>
      <c r="Y26" s="107">
        <v>0</v>
      </c>
      <c r="Z26" s="96">
        <v>16</v>
      </c>
      <c r="AA26" s="96">
        <v>10</v>
      </c>
      <c r="AB26" s="96">
        <v>4</v>
      </c>
      <c r="AC26" s="96"/>
      <c r="AD26" s="96"/>
      <c r="AE26" s="96"/>
      <c r="AF26" s="96"/>
      <c r="AG26" s="96"/>
      <c r="AH26" s="96"/>
      <c r="AI26" s="96"/>
      <c r="AJ26" s="96"/>
      <c r="AK26" s="67">
        <v>29157</v>
      </c>
      <c r="AL26" s="67"/>
      <c r="AM26" s="67">
        <v>30564</v>
      </c>
      <c r="AN26" s="67"/>
      <c r="AO26" s="67">
        <v>32027</v>
      </c>
      <c r="AP26" s="67"/>
      <c r="AQ26" s="67">
        <v>33371</v>
      </c>
      <c r="AR26" s="11"/>
      <c r="AS26" s="67">
        <v>34995</v>
      </c>
      <c r="AT26" s="67"/>
      <c r="AU26" s="67">
        <v>36458</v>
      </c>
      <c r="AV26" s="67"/>
      <c r="AW26" s="67">
        <v>37921</v>
      </c>
      <c r="AX26" s="67"/>
      <c r="AY26" s="67">
        <v>39377</v>
      </c>
      <c r="AZ26" s="67"/>
      <c r="BA26" s="67">
        <v>40840</v>
      </c>
    </row>
    <row r="27" spans="1:53">
      <c r="A27" s="3" t="s">
        <v>620</v>
      </c>
      <c r="B27" s="3" t="s">
        <v>621</v>
      </c>
      <c r="C27" s="3">
        <v>15</v>
      </c>
      <c r="D27" s="3" t="s">
        <v>541</v>
      </c>
      <c r="E27" s="11" t="s">
        <v>1435</v>
      </c>
      <c r="F27" s="96">
        <v>0</v>
      </c>
      <c r="G27" s="109" t="s">
        <v>2058</v>
      </c>
      <c r="H27" s="96" t="s">
        <v>2056</v>
      </c>
      <c r="I27" s="106">
        <v>35</v>
      </c>
      <c r="J27" s="96">
        <v>1</v>
      </c>
      <c r="K27" s="108">
        <v>40237</v>
      </c>
      <c r="L27" s="108">
        <v>40526</v>
      </c>
      <c r="M27" s="96">
        <v>1</v>
      </c>
      <c r="N27" s="99">
        <v>35</v>
      </c>
      <c r="O27" s="96">
        <v>1</v>
      </c>
      <c r="P27" s="96">
        <v>0</v>
      </c>
      <c r="Q27" s="96">
        <v>1</v>
      </c>
      <c r="R27" s="96">
        <v>0</v>
      </c>
      <c r="S27" s="96">
        <v>0</v>
      </c>
      <c r="T27" s="96">
        <v>0</v>
      </c>
      <c r="U27" s="96">
        <v>0</v>
      </c>
      <c r="V27" s="96">
        <v>0</v>
      </c>
      <c r="W27" s="96">
        <v>1</v>
      </c>
      <c r="X27" s="107">
        <v>0.03</v>
      </c>
      <c r="Y27" s="107">
        <f>12/35</f>
        <v>0.34285714285714286</v>
      </c>
      <c r="Z27" s="96">
        <v>12</v>
      </c>
      <c r="AA27" s="96">
        <v>4</v>
      </c>
      <c r="AB27" s="96">
        <v>4</v>
      </c>
      <c r="AC27" s="96">
        <v>3</v>
      </c>
      <c r="AD27" s="96">
        <v>2</v>
      </c>
      <c r="AE27" s="96">
        <v>2</v>
      </c>
      <c r="AF27" s="96">
        <v>2</v>
      </c>
      <c r="AG27" s="96">
        <v>2</v>
      </c>
      <c r="AH27" s="96">
        <v>2</v>
      </c>
      <c r="AI27" s="96">
        <v>1</v>
      </c>
      <c r="AJ27" s="96">
        <v>1</v>
      </c>
      <c r="AK27" s="67">
        <v>29157</v>
      </c>
      <c r="AL27" s="67"/>
      <c r="AM27" s="67">
        <v>30564</v>
      </c>
      <c r="AN27" s="67"/>
      <c r="AO27" s="67">
        <v>32027</v>
      </c>
      <c r="AP27" s="67"/>
      <c r="AQ27" s="67">
        <v>33371</v>
      </c>
      <c r="AR27" s="67"/>
      <c r="AS27" s="67">
        <v>34967</v>
      </c>
      <c r="AT27" s="67"/>
      <c r="AU27" s="67">
        <v>36430</v>
      </c>
      <c r="AV27" s="67"/>
      <c r="AW27" s="67">
        <v>37774</v>
      </c>
      <c r="AX27" s="67"/>
      <c r="AY27" s="67">
        <v>39244</v>
      </c>
      <c r="AZ27" s="67"/>
      <c r="BA27" s="67">
        <v>40658</v>
      </c>
    </row>
    <row r="28" spans="1:53">
      <c r="A28" s="3" t="s">
        <v>622</v>
      </c>
      <c r="B28" s="3" t="s">
        <v>925</v>
      </c>
      <c r="C28" s="3">
        <v>16</v>
      </c>
      <c r="D28" s="3" t="s">
        <v>541</v>
      </c>
      <c r="E28" s="11" t="s">
        <v>1435</v>
      </c>
      <c r="F28" s="96">
        <v>0</v>
      </c>
      <c r="G28" s="109" t="s">
        <v>2058</v>
      </c>
      <c r="H28" s="96" t="s">
        <v>2061</v>
      </c>
      <c r="I28" s="106">
        <v>46</v>
      </c>
      <c r="J28" s="96">
        <v>1</v>
      </c>
      <c r="K28" s="108">
        <v>40237</v>
      </c>
      <c r="L28" s="108">
        <v>40511</v>
      </c>
      <c r="M28" s="96">
        <v>8</v>
      </c>
      <c r="N28" s="99">
        <f>I28/M28</f>
        <v>5.75</v>
      </c>
      <c r="O28" s="96">
        <v>0</v>
      </c>
      <c r="P28" s="96">
        <v>0</v>
      </c>
      <c r="Q28" s="96">
        <v>1</v>
      </c>
      <c r="R28" s="96">
        <v>1</v>
      </c>
      <c r="S28" s="96">
        <v>0</v>
      </c>
      <c r="T28" s="96">
        <v>0</v>
      </c>
      <c r="U28" s="96">
        <v>0</v>
      </c>
      <c r="V28" s="96">
        <v>0</v>
      </c>
      <c r="W28" s="96">
        <v>1</v>
      </c>
      <c r="X28" s="107">
        <v>0.05</v>
      </c>
      <c r="Y28" s="107">
        <f>3/46</f>
        <v>6.5217391304347824E-2</v>
      </c>
      <c r="Z28" s="96">
        <v>32</v>
      </c>
      <c r="AA28" s="96">
        <v>11</v>
      </c>
      <c r="AB28" s="96">
        <v>1</v>
      </c>
      <c r="AC28" s="96">
        <v>1</v>
      </c>
      <c r="AD28" s="96">
        <v>1</v>
      </c>
      <c r="AE28" s="96"/>
      <c r="AF28" s="96"/>
      <c r="AG28" s="96"/>
      <c r="AH28" s="96"/>
      <c r="AI28" s="96"/>
      <c r="AJ28" s="96"/>
      <c r="AK28" s="67">
        <v>29157</v>
      </c>
      <c r="AL28" s="67"/>
      <c r="AM28" s="67">
        <v>30564</v>
      </c>
      <c r="AN28" s="67"/>
      <c r="AO28" s="67">
        <v>31999</v>
      </c>
      <c r="AP28" s="67"/>
      <c r="AQ28" s="67">
        <v>33371</v>
      </c>
      <c r="AR28" s="67"/>
      <c r="AS28" s="67">
        <v>34873</v>
      </c>
      <c r="AT28" s="67"/>
      <c r="AU28" s="67">
        <v>36402</v>
      </c>
      <c r="AV28" s="67"/>
      <c r="AW28" s="67">
        <v>37760</v>
      </c>
      <c r="AX28" s="67"/>
      <c r="AY28" s="67">
        <v>39349</v>
      </c>
      <c r="AZ28" s="67"/>
      <c r="BA28" s="67">
        <v>40707</v>
      </c>
    </row>
    <row r="29" spans="1:53">
      <c r="A29" s="3" t="s">
        <v>928</v>
      </c>
      <c r="B29" s="3" t="s">
        <v>929</v>
      </c>
      <c r="C29" s="3">
        <v>18</v>
      </c>
      <c r="D29" s="3" t="s">
        <v>713</v>
      </c>
      <c r="E29" s="11" t="s">
        <v>1435</v>
      </c>
      <c r="F29" s="96">
        <v>0</v>
      </c>
      <c r="G29" s="109" t="s">
        <v>2057</v>
      </c>
      <c r="H29" s="96" t="s">
        <v>2061</v>
      </c>
      <c r="I29" s="106">
        <v>34</v>
      </c>
      <c r="J29" s="96">
        <v>1</v>
      </c>
      <c r="K29" s="108">
        <v>40268</v>
      </c>
      <c r="L29" s="108">
        <v>40511</v>
      </c>
      <c r="M29" s="96">
        <v>20</v>
      </c>
      <c r="N29" s="99">
        <f>I29/M29</f>
        <v>1.7</v>
      </c>
      <c r="O29" s="96">
        <v>0</v>
      </c>
      <c r="P29" s="96">
        <v>0</v>
      </c>
      <c r="Q29" s="96">
        <v>1</v>
      </c>
      <c r="R29" s="96">
        <v>1</v>
      </c>
      <c r="S29" s="107">
        <f>19/34</f>
        <v>0.55882352941176472</v>
      </c>
      <c r="T29" s="96">
        <v>0</v>
      </c>
      <c r="U29" s="96">
        <v>0</v>
      </c>
      <c r="V29" s="96">
        <v>1</v>
      </c>
      <c r="W29" s="96">
        <v>1</v>
      </c>
      <c r="X29" s="107">
        <v>0.03</v>
      </c>
      <c r="Y29" s="107">
        <f>3/34</f>
        <v>8.8235294117647065E-2</v>
      </c>
      <c r="Z29" s="96">
        <v>25</v>
      </c>
      <c r="AA29" s="96">
        <v>6</v>
      </c>
      <c r="AB29" s="96">
        <v>2</v>
      </c>
      <c r="AC29" s="96">
        <v>1</v>
      </c>
      <c r="AD29" s="96"/>
      <c r="AE29" s="96"/>
      <c r="AF29" s="96"/>
      <c r="AG29" s="96"/>
      <c r="AH29" s="96"/>
      <c r="AI29" s="96"/>
      <c r="AJ29" s="96"/>
      <c r="AK29" s="67">
        <v>29157</v>
      </c>
      <c r="AL29" s="67"/>
      <c r="AM29" s="67">
        <v>30564</v>
      </c>
      <c r="AN29" s="67"/>
      <c r="AO29" s="67">
        <v>31999</v>
      </c>
      <c r="AP29" s="67"/>
      <c r="AQ29" s="67">
        <v>33371</v>
      </c>
      <c r="AR29" s="67"/>
      <c r="AS29" s="67">
        <v>34834</v>
      </c>
      <c r="AT29" s="67"/>
      <c r="AU29" s="67">
        <v>36437</v>
      </c>
      <c r="AV29" s="67"/>
      <c r="AW29" s="67">
        <v>37844</v>
      </c>
      <c r="AX29" s="67"/>
      <c r="AY29" s="67">
        <v>39377</v>
      </c>
      <c r="AZ29" s="67"/>
      <c r="BA29" s="67">
        <v>40840</v>
      </c>
    </row>
    <row r="30" spans="1:53">
      <c r="A30" s="3" t="s">
        <v>660</v>
      </c>
      <c r="B30" s="3" t="s">
        <v>661</v>
      </c>
      <c r="C30" s="3">
        <v>20</v>
      </c>
      <c r="D30" s="3" t="s">
        <v>541</v>
      </c>
      <c r="E30" s="11" t="s">
        <v>1435</v>
      </c>
      <c r="F30" s="96">
        <v>0</v>
      </c>
      <c r="G30" s="109" t="s">
        <v>2057</v>
      </c>
      <c r="H30" s="96" t="s">
        <v>2056</v>
      </c>
      <c r="I30" s="110">
        <v>24</v>
      </c>
      <c r="J30" s="96">
        <v>1</v>
      </c>
      <c r="K30" s="108">
        <v>40237</v>
      </c>
      <c r="L30" s="108">
        <v>40511</v>
      </c>
      <c r="M30" s="96">
        <v>15</v>
      </c>
      <c r="N30" s="99">
        <f>I30/M30</f>
        <v>1.6</v>
      </c>
      <c r="O30" s="96">
        <v>0</v>
      </c>
      <c r="P30" s="96">
        <v>0</v>
      </c>
      <c r="Q30" s="96">
        <v>1</v>
      </c>
      <c r="R30" s="96">
        <v>1</v>
      </c>
      <c r="S30" s="107">
        <f>14/24</f>
        <v>0.58333333333333337</v>
      </c>
      <c r="T30" s="96">
        <v>0</v>
      </c>
      <c r="U30" s="96">
        <v>0</v>
      </c>
      <c r="V30" s="96">
        <v>1</v>
      </c>
      <c r="W30" s="96">
        <v>1</v>
      </c>
      <c r="X30" s="107">
        <v>0.03</v>
      </c>
      <c r="Y30" s="107">
        <f>2/24</f>
        <v>8.3333333333333329E-2</v>
      </c>
      <c r="Z30" s="96">
        <v>22</v>
      </c>
      <c r="AA30" s="96">
        <v>2</v>
      </c>
      <c r="AB30" s="96"/>
      <c r="AC30" s="96"/>
      <c r="AD30" s="96"/>
      <c r="AE30" s="96"/>
      <c r="AF30" s="96"/>
      <c r="AG30" s="96"/>
      <c r="AH30" s="96"/>
      <c r="AI30" s="96"/>
      <c r="AJ30" s="96"/>
      <c r="AK30" s="67">
        <v>29157</v>
      </c>
      <c r="AL30" s="67">
        <v>29892</v>
      </c>
      <c r="AM30" s="67">
        <v>30564</v>
      </c>
      <c r="AN30" s="67">
        <v>31180</v>
      </c>
      <c r="AO30" s="67">
        <v>32027</v>
      </c>
      <c r="AP30" s="67">
        <v>32783</v>
      </c>
      <c r="AQ30" s="67">
        <v>33371</v>
      </c>
      <c r="AR30" s="67">
        <v>34267</v>
      </c>
      <c r="AS30" s="67">
        <v>34841</v>
      </c>
      <c r="AT30" s="67"/>
      <c r="AU30" s="67">
        <v>36416</v>
      </c>
      <c r="AV30" s="67"/>
      <c r="AW30" s="67">
        <v>37921</v>
      </c>
      <c r="AX30" s="67"/>
      <c r="AY30" s="67">
        <v>39377</v>
      </c>
      <c r="AZ30" s="67"/>
      <c r="BA30" s="67">
        <v>40840</v>
      </c>
    </row>
    <row r="31" spans="1:53">
      <c r="A31" s="3" t="s">
        <v>80</v>
      </c>
      <c r="B31" s="3" t="s">
        <v>747</v>
      </c>
      <c r="C31" s="3">
        <v>21</v>
      </c>
      <c r="D31" s="3" t="s">
        <v>759</v>
      </c>
      <c r="E31" s="11" t="s">
        <v>1433</v>
      </c>
      <c r="F31" s="96">
        <v>1</v>
      </c>
      <c r="G31" s="109" t="s">
        <v>2057</v>
      </c>
      <c r="H31" s="96" t="s">
        <v>2060</v>
      </c>
      <c r="I31" s="106">
        <v>50</v>
      </c>
      <c r="J31" s="96">
        <v>1</v>
      </c>
      <c r="K31" s="108">
        <v>40298</v>
      </c>
      <c r="L31" s="108">
        <v>40481</v>
      </c>
      <c r="M31" s="96">
        <v>1</v>
      </c>
      <c r="N31" s="99">
        <v>50</v>
      </c>
      <c r="O31" s="96">
        <v>0</v>
      </c>
      <c r="P31" s="96">
        <v>1</v>
      </c>
      <c r="Q31" s="96">
        <v>1</v>
      </c>
      <c r="R31" s="96">
        <v>0</v>
      </c>
      <c r="S31" s="96">
        <v>0</v>
      </c>
      <c r="T31" s="96">
        <v>0</v>
      </c>
      <c r="U31" s="96">
        <v>0</v>
      </c>
      <c r="V31" s="96">
        <v>0</v>
      </c>
      <c r="W31" s="96">
        <v>1</v>
      </c>
      <c r="X31" s="107">
        <v>0.03</v>
      </c>
      <c r="Y31" s="107">
        <v>0</v>
      </c>
      <c r="Z31" s="96">
        <v>28</v>
      </c>
      <c r="AA31" s="96">
        <v>15</v>
      </c>
      <c r="AB31" s="96">
        <v>7</v>
      </c>
      <c r="AC31" s="96"/>
      <c r="AD31" s="96"/>
      <c r="AE31" s="96"/>
      <c r="AF31" s="96"/>
      <c r="AG31" s="96"/>
      <c r="AH31" s="96"/>
      <c r="AI31" s="96"/>
      <c r="AJ31" s="96"/>
      <c r="AK31" s="67">
        <v>29157</v>
      </c>
      <c r="AL31" s="67"/>
      <c r="AM31" s="67">
        <v>30564</v>
      </c>
      <c r="AN31" s="67"/>
      <c r="AO31" s="67">
        <v>32027</v>
      </c>
      <c r="AP31" s="67"/>
      <c r="AQ31" s="67">
        <v>33483</v>
      </c>
      <c r="AR31" s="67"/>
      <c r="AS31" s="67">
        <v>34918</v>
      </c>
      <c r="AT31" s="67"/>
      <c r="AU31" s="67">
        <v>36409</v>
      </c>
      <c r="AV31" s="67"/>
      <c r="AW31" s="67">
        <v>37865</v>
      </c>
      <c r="AX31" s="67"/>
      <c r="AY31" s="67">
        <v>39286</v>
      </c>
      <c r="AZ31" s="67"/>
      <c r="BA31" s="67">
        <v>40707</v>
      </c>
    </row>
    <row r="32" spans="1:53">
      <c r="A32" s="3" t="s">
        <v>723</v>
      </c>
      <c r="B32" s="3" t="s">
        <v>724</v>
      </c>
      <c r="C32" s="3">
        <v>23</v>
      </c>
      <c r="D32" s="3" t="s">
        <v>541</v>
      </c>
      <c r="E32" s="11" t="s">
        <v>1435</v>
      </c>
      <c r="F32" s="96">
        <v>0</v>
      </c>
      <c r="G32" s="109" t="s">
        <v>2059</v>
      </c>
      <c r="H32" s="96" t="s">
        <v>2056</v>
      </c>
      <c r="I32" s="106">
        <v>15</v>
      </c>
      <c r="J32" s="96">
        <v>1</v>
      </c>
      <c r="K32" s="108">
        <v>40237</v>
      </c>
      <c r="L32" s="108">
        <v>40526</v>
      </c>
      <c r="M32" s="96">
        <v>1</v>
      </c>
      <c r="N32" s="99">
        <v>15</v>
      </c>
      <c r="O32" s="96">
        <v>1</v>
      </c>
      <c r="P32" s="96">
        <v>0</v>
      </c>
      <c r="Q32" s="96">
        <v>1</v>
      </c>
      <c r="R32" s="96">
        <v>0</v>
      </c>
      <c r="S32" s="96">
        <v>0</v>
      </c>
      <c r="T32" s="96">
        <v>1</v>
      </c>
      <c r="U32" s="96">
        <v>0</v>
      </c>
      <c r="V32" s="96">
        <v>0</v>
      </c>
      <c r="W32" s="96">
        <v>1</v>
      </c>
      <c r="X32" s="107">
        <v>0.05</v>
      </c>
      <c r="Y32" s="107">
        <f>9/15</f>
        <v>0.6</v>
      </c>
      <c r="Z32" s="96">
        <v>3</v>
      </c>
      <c r="AA32" s="96">
        <v>3</v>
      </c>
      <c r="AB32" s="96">
        <v>3</v>
      </c>
      <c r="AC32" s="96">
        <v>2</v>
      </c>
      <c r="AD32" s="96">
        <v>2</v>
      </c>
      <c r="AE32" s="96">
        <v>2</v>
      </c>
      <c r="AF32" s="96"/>
      <c r="AG32" s="96"/>
      <c r="AH32" s="96"/>
      <c r="AI32" s="96"/>
      <c r="AJ32" s="96"/>
      <c r="AK32" s="67">
        <v>29157</v>
      </c>
      <c r="AL32" s="67">
        <v>29892</v>
      </c>
      <c r="AM32" s="67"/>
      <c r="AN32" s="67">
        <v>31180</v>
      </c>
      <c r="AO32" s="67"/>
      <c r="AP32" s="67"/>
      <c r="AQ32" s="67">
        <v>33504</v>
      </c>
      <c r="AR32" s="67"/>
      <c r="AS32" s="67">
        <v>34869</v>
      </c>
      <c r="AT32" s="67"/>
      <c r="AU32" s="67">
        <v>36332</v>
      </c>
      <c r="AV32" s="67"/>
      <c r="AW32" s="67">
        <v>37788</v>
      </c>
      <c r="AX32" s="67"/>
      <c r="AY32" s="67">
        <v>39258</v>
      </c>
      <c r="AZ32" s="67"/>
      <c r="BA32" s="67">
        <v>40714</v>
      </c>
    </row>
    <row r="33" spans="1:53">
      <c r="A33" s="3" t="s">
        <v>725</v>
      </c>
      <c r="B33" s="3" t="s">
        <v>726</v>
      </c>
      <c r="C33" s="3">
        <v>24</v>
      </c>
      <c r="D33" s="3" t="s">
        <v>664</v>
      </c>
      <c r="E33" s="11" t="s">
        <v>1435</v>
      </c>
      <c r="F33" s="96">
        <v>0</v>
      </c>
      <c r="G33" s="109" t="s">
        <v>2058</v>
      </c>
      <c r="H33" s="96" t="s">
        <v>2056</v>
      </c>
      <c r="I33" s="110">
        <v>49</v>
      </c>
      <c r="J33" s="96">
        <v>1</v>
      </c>
      <c r="K33" s="113" t="s">
        <v>2063</v>
      </c>
      <c r="L33" s="114" t="s">
        <v>2064</v>
      </c>
      <c r="M33" s="96">
        <v>3</v>
      </c>
      <c r="N33" s="99">
        <f>I33/3</f>
        <v>16.333333333333332</v>
      </c>
      <c r="O33" s="96">
        <v>1</v>
      </c>
      <c r="P33" s="96">
        <v>0</v>
      </c>
      <c r="Q33" s="96">
        <v>1</v>
      </c>
      <c r="R33" s="96">
        <v>0</v>
      </c>
      <c r="S33" s="96">
        <v>0</v>
      </c>
      <c r="T33" s="96">
        <v>0</v>
      </c>
      <c r="U33" s="96">
        <v>0</v>
      </c>
      <c r="V33" s="96">
        <v>0</v>
      </c>
      <c r="W33" s="96">
        <v>1</v>
      </c>
      <c r="X33" s="107">
        <v>0</v>
      </c>
      <c r="Y33" s="112">
        <f>14/49</f>
        <v>0.2857142857142857</v>
      </c>
      <c r="Z33" s="96">
        <v>22</v>
      </c>
      <c r="AA33" s="96">
        <v>4</v>
      </c>
      <c r="AB33" s="96">
        <v>3</v>
      </c>
      <c r="AC33" s="96">
        <v>3</v>
      </c>
      <c r="AD33" s="96">
        <v>3</v>
      </c>
      <c r="AE33" s="96">
        <v>2</v>
      </c>
      <c r="AF33" s="96">
        <v>2</v>
      </c>
      <c r="AG33" s="96">
        <v>1</v>
      </c>
      <c r="AH33" s="96">
        <v>1</v>
      </c>
      <c r="AI33" s="96">
        <v>1</v>
      </c>
      <c r="AJ33" s="96">
        <v>1</v>
      </c>
      <c r="AK33" s="67">
        <v>29157</v>
      </c>
      <c r="AL33" s="67">
        <v>29892</v>
      </c>
      <c r="AM33" s="67">
        <v>30564</v>
      </c>
      <c r="AN33" s="67">
        <v>31355</v>
      </c>
      <c r="AO33" s="67">
        <v>32027</v>
      </c>
      <c r="AP33" s="67"/>
      <c r="AQ33" s="67">
        <v>33420</v>
      </c>
      <c r="AR33" s="67"/>
      <c r="AS33" s="67">
        <v>34855</v>
      </c>
      <c r="AT33" s="67"/>
      <c r="AU33" s="67">
        <v>36339</v>
      </c>
      <c r="AV33" s="67"/>
      <c r="AW33" s="67">
        <v>37858</v>
      </c>
      <c r="AX33" s="67"/>
      <c r="AY33" s="67">
        <v>39321</v>
      </c>
      <c r="AZ33" s="67"/>
      <c r="BA33" s="67">
        <v>40777</v>
      </c>
    </row>
    <row r="34" spans="1:53">
      <c r="E34" s="11"/>
      <c r="AK34" s="11"/>
      <c r="AL34" s="11"/>
      <c r="AM34" s="11"/>
      <c r="AN34" s="11"/>
      <c r="AO34" s="11"/>
      <c r="AP34" s="11"/>
      <c r="AQ34" s="11"/>
      <c r="AR34" s="11"/>
      <c r="AS34" s="11"/>
      <c r="AT34" s="51"/>
      <c r="AU34" s="51"/>
      <c r="AV34" s="51"/>
      <c r="AW34" s="51"/>
      <c r="AX34" s="51"/>
      <c r="AY34" s="51"/>
      <c r="AZ34" s="51"/>
      <c r="BA34" s="51"/>
    </row>
    <row r="35" spans="1:53">
      <c r="A35" s="3" t="s">
        <v>727</v>
      </c>
      <c r="E35" s="11"/>
      <c r="AK35" s="11"/>
      <c r="AL35" s="11"/>
      <c r="AM35" s="11"/>
      <c r="AN35" s="11"/>
      <c r="AO35" s="11"/>
      <c r="AP35" s="11"/>
      <c r="AQ35" s="11"/>
      <c r="AR35" s="11"/>
      <c r="AS35" s="11"/>
      <c r="AT35" s="51"/>
      <c r="AU35" s="51"/>
      <c r="AV35" s="51"/>
      <c r="AW35" s="51"/>
      <c r="AX35" s="51"/>
      <c r="AY35" s="51"/>
      <c r="AZ35" s="51"/>
      <c r="BA35" s="51"/>
    </row>
    <row r="36" spans="1:53" ht="253">
      <c r="A36" s="7" t="s">
        <v>728</v>
      </c>
      <c r="B36" s="7"/>
      <c r="C36" s="7"/>
      <c r="D36" s="7"/>
      <c r="E36" s="1" t="s">
        <v>1825</v>
      </c>
      <c r="F36" s="1" t="s">
        <v>1825</v>
      </c>
      <c r="G36" s="1"/>
      <c r="H36" s="1" t="s">
        <v>2065</v>
      </c>
      <c r="I36" s="1" t="s">
        <v>2066</v>
      </c>
      <c r="J36" s="1" t="s">
        <v>2066</v>
      </c>
      <c r="K36" s="1"/>
      <c r="L36" s="1"/>
      <c r="M36" s="1" t="s">
        <v>2066</v>
      </c>
      <c r="N36" s="1" t="s">
        <v>2067</v>
      </c>
      <c r="O36" s="1" t="s">
        <v>2066</v>
      </c>
      <c r="P36" s="1"/>
      <c r="Q36" s="1" t="s">
        <v>2066</v>
      </c>
      <c r="R36" s="1" t="s">
        <v>2066</v>
      </c>
      <c r="S36" s="1" t="s">
        <v>2067</v>
      </c>
      <c r="T36" s="1"/>
      <c r="U36" s="1"/>
      <c r="V36" s="1" t="s">
        <v>2066</v>
      </c>
      <c r="W36" s="1"/>
      <c r="X36" s="1"/>
      <c r="Y36" s="1"/>
      <c r="Z36" s="1" t="s">
        <v>2066</v>
      </c>
      <c r="AA36" s="1" t="s">
        <v>2066</v>
      </c>
      <c r="AB36" s="1" t="s">
        <v>2066</v>
      </c>
      <c r="AC36" s="1" t="s">
        <v>2066</v>
      </c>
      <c r="AD36" s="1" t="s">
        <v>2066</v>
      </c>
      <c r="AE36" s="1" t="s">
        <v>2066</v>
      </c>
      <c r="AF36" s="1" t="s">
        <v>2066</v>
      </c>
      <c r="AG36" s="1" t="s">
        <v>2066</v>
      </c>
      <c r="AH36" s="1" t="s">
        <v>2066</v>
      </c>
      <c r="AI36" s="1" t="s">
        <v>2066</v>
      </c>
      <c r="AJ36" s="1" t="s">
        <v>2066</v>
      </c>
      <c r="AK36" s="63" t="s">
        <v>1445</v>
      </c>
      <c r="AL36" s="63" t="s">
        <v>1445</v>
      </c>
      <c r="AM36" s="63" t="s">
        <v>1445</v>
      </c>
      <c r="AN36" s="63" t="s">
        <v>1445</v>
      </c>
      <c r="AO36" s="63" t="s">
        <v>1445</v>
      </c>
      <c r="AP36" s="63" t="s">
        <v>1445</v>
      </c>
      <c r="AQ36" s="63" t="s">
        <v>1445</v>
      </c>
      <c r="AR36" s="63" t="s">
        <v>1445</v>
      </c>
      <c r="AS36" s="63" t="s">
        <v>1445</v>
      </c>
      <c r="AT36" s="63" t="s">
        <v>1445</v>
      </c>
      <c r="AU36" s="63" t="s">
        <v>1445</v>
      </c>
      <c r="AV36" s="63" t="s">
        <v>1445</v>
      </c>
      <c r="AW36" s="63" t="s">
        <v>1445</v>
      </c>
      <c r="AX36" s="63" t="s">
        <v>1811</v>
      </c>
      <c r="AY36" s="63" t="s">
        <v>1815</v>
      </c>
      <c r="AZ36" s="63" t="s">
        <v>3237</v>
      </c>
      <c r="BA36" s="63" t="s">
        <v>3344</v>
      </c>
    </row>
    <row r="37" spans="1:53">
      <c r="A37" s="7"/>
      <c r="B37" s="7"/>
      <c r="C37" s="7"/>
      <c r="D37" s="7"/>
      <c r="E37" s="7"/>
      <c r="AK37" s="7"/>
      <c r="AL37" s="7"/>
      <c r="AM37" s="7"/>
      <c r="AN37" s="7"/>
      <c r="AO37" s="7"/>
      <c r="AP37" s="7"/>
      <c r="AQ37" s="7"/>
      <c r="AR37" s="7"/>
      <c r="AS37" s="7"/>
      <c r="AT37" s="7"/>
      <c r="AU37" s="7"/>
      <c r="AV37" s="7"/>
      <c r="AW37" s="7"/>
      <c r="AX37" s="7"/>
      <c r="AY37" s="7"/>
    </row>
  </sheetData>
  <sortState ref="A9:BA32">
    <sortCondition ref="J9:J32"/>
  </sortState>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opLeftCell="A4" workbookViewId="0">
      <pane xSplit="2700" ySplit="2580" activePane="bottomLeft"/>
      <selection activeCell="A8" sqref="A8:U32"/>
      <selection pane="topRight" activeCell="U31" sqref="U31"/>
      <selection pane="bottomLeft"/>
      <selection pane="bottomRight" activeCell="X10" sqref="X10:X32"/>
    </sheetView>
  </sheetViews>
  <sheetFormatPr baseColWidth="10" defaultRowHeight="13" x14ac:dyDescent="0"/>
  <cols>
    <col min="1" max="1" width="15.140625" style="3" customWidth="1"/>
    <col min="2" max="3" width="5.7109375" style="3" customWidth="1"/>
    <col min="4" max="4" width="10.7109375" style="3"/>
    <col min="5" max="19" width="10.7109375" style="6"/>
  </cols>
  <sheetData>
    <row r="1" spans="1:24">
      <c r="A1" s="184" t="s">
        <v>2404</v>
      </c>
    </row>
    <row r="2" spans="1:24">
      <c r="A2" s="1" t="s">
        <v>614</v>
      </c>
      <c r="B2" s="1"/>
      <c r="C2" s="1"/>
      <c r="D2" s="1"/>
      <c r="E2" s="1" t="s">
        <v>1309</v>
      </c>
      <c r="F2" s="1" t="s">
        <v>1309</v>
      </c>
      <c r="G2" s="1" t="s">
        <v>1309</v>
      </c>
      <c r="H2" s="1" t="s">
        <v>1309</v>
      </c>
      <c r="I2" s="1" t="s">
        <v>1309</v>
      </c>
      <c r="J2" s="1" t="s">
        <v>1309</v>
      </c>
      <c r="K2" s="1" t="s">
        <v>1309</v>
      </c>
      <c r="L2" s="1" t="s">
        <v>1309</v>
      </c>
      <c r="M2" s="1" t="s">
        <v>1309</v>
      </c>
      <c r="N2" s="1" t="s">
        <v>1309</v>
      </c>
      <c r="O2" s="1" t="s">
        <v>1309</v>
      </c>
      <c r="P2" s="1" t="s">
        <v>1309</v>
      </c>
      <c r="Q2" s="1" t="s">
        <v>1309</v>
      </c>
      <c r="R2" s="1" t="s">
        <v>1309</v>
      </c>
      <c r="S2" s="1" t="s">
        <v>1309</v>
      </c>
      <c r="T2" s="1" t="s">
        <v>1309</v>
      </c>
      <c r="U2" s="1" t="s">
        <v>1309</v>
      </c>
    </row>
    <row r="3" spans="1:24">
      <c r="A3" s="1" t="s">
        <v>518</v>
      </c>
      <c r="B3" s="1"/>
      <c r="C3" s="1"/>
      <c r="D3" s="1"/>
      <c r="E3" s="1" t="s">
        <v>247</v>
      </c>
      <c r="F3" s="1" t="s">
        <v>247</v>
      </c>
      <c r="G3" s="1" t="s">
        <v>247</v>
      </c>
      <c r="H3" s="1" t="s">
        <v>247</v>
      </c>
      <c r="I3" s="1" t="s">
        <v>247</v>
      </c>
      <c r="J3" s="1" t="s">
        <v>247</v>
      </c>
      <c r="K3" s="1" t="s">
        <v>247</v>
      </c>
      <c r="L3" s="1" t="s">
        <v>247</v>
      </c>
      <c r="M3" s="1" t="s">
        <v>247</v>
      </c>
      <c r="N3" s="1" t="s">
        <v>247</v>
      </c>
      <c r="O3" s="1" t="s">
        <v>247</v>
      </c>
      <c r="P3" s="1" t="s">
        <v>247</v>
      </c>
      <c r="Q3" s="1" t="s">
        <v>247</v>
      </c>
      <c r="R3" s="1" t="s">
        <v>247</v>
      </c>
      <c r="S3" s="1" t="s">
        <v>247</v>
      </c>
      <c r="T3" s="1" t="s">
        <v>247</v>
      </c>
      <c r="U3" s="1" t="s">
        <v>247</v>
      </c>
    </row>
    <row r="4" spans="1:24">
      <c r="A4" s="1" t="s">
        <v>736</v>
      </c>
      <c r="B4" s="1"/>
      <c r="C4" s="1"/>
      <c r="D4" s="1"/>
      <c r="E4" s="1"/>
      <c r="F4" s="1"/>
      <c r="G4" s="1"/>
      <c r="H4" s="1"/>
      <c r="I4" s="1"/>
      <c r="J4" s="1"/>
      <c r="K4" s="1"/>
      <c r="L4" s="1"/>
      <c r="M4" s="1"/>
      <c r="N4" s="1"/>
      <c r="O4" s="1"/>
      <c r="P4" s="1"/>
      <c r="Q4" s="1"/>
      <c r="R4" s="1"/>
      <c r="S4" s="1"/>
    </row>
    <row r="5" spans="1:24">
      <c r="A5" s="1" t="s">
        <v>737</v>
      </c>
      <c r="B5" s="1"/>
      <c r="C5" s="1"/>
      <c r="D5" s="1"/>
      <c r="E5" s="1" t="s">
        <v>248</v>
      </c>
      <c r="F5" s="1" t="s">
        <v>248</v>
      </c>
      <c r="G5" s="1" t="s">
        <v>248</v>
      </c>
      <c r="H5" s="1" t="s">
        <v>248</v>
      </c>
      <c r="I5" s="1" t="s">
        <v>248</v>
      </c>
      <c r="J5" s="1" t="s">
        <v>248</v>
      </c>
      <c r="K5" s="1" t="s">
        <v>248</v>
      </c>
      <c r="L5" s="1" t="s">
        <v>248</v>
      </c>
      <c r="M5" s="1" t="s">
        <v>248</v>
      </c>
      <c r="N5" s="1" t="s">
        <v>248</v>
      </c>
      <c r="O5" s="1" t="s">
        <v>248</v>
      </c>
      <c r="P5" s="1" t="s">
        <v>248</v>
      </c>
      <c r="Q5" s="1" t="s">
        <v>248</v>
      </c>
      <c r="R5" s="1" t="s">
        <v>1906</v>
      </c>
      <c r="S5" s="1" t="s">
        <v>1906</v>
      </c>
      <c r="T5" s="1" t="s">
        <v>2894</v>
      </c>
      <c r="U5" s="1" t="s">
        <v>3345</v>
      </c>
    </row>
    <row r="6" spans="1:24">
      <c r="A6" s="42" t="s">
        <v>560</v>
      </c>
      <c r="B6" s="42"/>
      <c r="C6" s="42"/>
      <c r="D6" s="42"/>
      <c r="E6" s="42">
        <v>1983</v>
      </c>
      <c r="F6" s="42" t="s">
        <v>256</v>
      </c>
      <c r="G6" s="42" t="s">
        <v>257</v>
      </c>
      <c r="H6" s="42" t="s">
        <v>251</v>
      </c>
      <c r="I6" s="42" t="s">
        <v>252</v>
      </c>
      <c r="J6" s="42" t="s">
        <v>258</v>
      </c>
      <c r="K6" s="42" t="s">
        <v>302</v>
      </c>
      <c r="L6" s="42" t="s">
        <v>259</v>
      </c>
      <c r="M6" s="42" t="s">
        <v>260</v>
      </c>
      <c r="N6" s="42" t="s">
        <v>261</v>
      </c>
      <c r="O6" s="42" t="s">
        <v>262</v>
      </c>
      <c r="P6" s="42" t="s">
        <v>194</v>
      </c>
      <c r="Q6" s="42" t="s">
        <v>195</v>
      </c>
      <c r="R6" s="42" t="s">
        <v>1907</v>
      </c>
      <c r="S6" s="42" t="s">
        <v>1812</v>
      </c>
      <c r="T6" s="42" t="s">
        <v>1927</v>
      </c>
      <c r="U6" s="42" t="s">
        <v>1927</v>
      </c>
    </row>
    <row r="7" spans="1:24" ht="77">
      <c r="A7" s="7" t="s">
        <v>3334</v>
      </c>
      <c r="B7" s="1"/>
      <c r="C7" s="1"/>
      <c r="D7" s="1"/>
      <c r="E7" s="1" t="s">
        <v>254</v>
      </c>
      <c r="F7" s="1" t="s">
        <v>2563</v>
      </c>
      <c r="G7" s="1" t="s">
        <v>1340</v>
      </c>
      <c r="H7" s="1" t="s">
        <v>1339</v>
      </c>
      <c r="I7" s="1" t="s">
        <v>1428</v>
      </c>
      <c r="J7" s="1" t="s">
        <v>1350</v>
      </c>
      <c r="K7" s="1" t="s">
        <v>1440</v>
      </c>
      <c r="L7" s="1" t="s">
        <v>1385</v>
      </c>
      <c r="M7" s="1" t="s">
        <v>1417</v>
      </c>
      <c r="N7" s="1" t="s">
        <v>1349</v>
      </c>
      <c r="O7" s="1" t="s">
        <v>1484</v>
      </c>
      <c r="P7" s="1" t="s">
        <v>1331</v>
      </c>
      <c r="Q7" s="1" t="s">
        <v>1332</v>
      </c>
      <c r="R7" s="1" t="s">
        <v>1908</v>
      </c>
      <c r="S7" s="1" t="s">
        <v>1902</v>
      </c>
      <c r="T7" s="1" t="s">
        <v>2890</v>
      </c>
      <c r="U7" s="1" t="s">
        <v>3346</v>
      </c>
    </row>
    <row r="8" spans="1:24">
      <c r="A8" s="9" t="s">
        <v>572</v>
      </c>
      <c r="B8" s="9" t="s">
        <v>770</v>
      </c>
      <c r="C8" s="9" t="s">
        <v>771</v>
      </c>
      <c r="D8" s="9" t="s">
        <v>772</v>
      </c>
      <c r="E8" s="9" t="s">
        <v>255</v>
      </c>
      <c r="F8" s="9" t="s">
        <v>196</v>
      </c>
      <c r="G8" s="9" t="s">
        <v>197</v>
      </c>
      <c r="H8" s="9" t="s">
        <v>198</v>
      </c>
      <c r="I8" s="9" t="s">
        <v>263</v>
      </c>
      <c r="J8" s="9" t="s">
        <v>264</v>
      </c>
      <c r="K8" s="9" t="s">
        <v>265</v>
      </c>
      <c r="L8" s="9" t="s">
        <v>266</v>
      </c>
      <c r="M8" s="9" t="s">
        <v>267</v>
      </c>
      <c r="N8" s="9" t="s">
        <v>233</v>
      </c>
      <c r="O8" s="9" t="s">
        <v>230</v>
      </c>
      <c r="P8" s="9" t="s">
        <v>231</v>
      </c>
      <c r="Q8" s="9" t="s">
        <v>232</v>
      </c>
      <c r="R8" s="9" t="s">
        <v>1903</v>
      </c>
      <c r="S8" s="9" t="s">
        <v>1904</v>
      </c>
      <c r="T8" s="9" t="s">
        <v>2891</v>
      </c>
      <c r="U8" s="9" t="s">
        <v>3347</v>
      </c>
    </row>
    <row r="9" spans="1:24">
      <c r="A9" s="3" t="s">
        <v>850</v>
      </c>
      <c r="B9" s="3" t="s">
        <v>851</v>
      </c>
      <c r="C9" s="3">
        <v>1</v>
      </c>
      <c r="D9" s="3" t="s">
        <v>759</v>
      </c>
      <c r="E9" s="70">
        <v>87.69</v>
      </c>
      <c r="F9" s="70">
        <v>85.51</v>
      </c>
      <c r="G9" s="70">
        <v>86.1</v>
      </c>
      <c r="H9" s="70">
        <v>87.07</v>
      </c>
      <c r="I9" s="70">
        <v>82.45</v>
      </c>
      <c r="J9" s="70">
        <v>82.63</v>
      </c>
      <c r="K9" s="70">
        <v>84</v>
      </c>
      <c r="L9" s="70">
        <v>82.43</v>
      </c>
      <c r="M9" s="70">
        <v>82.97</v>
      </c>
      <c r="N9" s="70">
        <v>78.08</v>
      </c>
      <c r="O9" s="70">
        <v>71.16</v>
      </c>
      <c r="P9" s="70">
        <v>78.67</v>
      </c>
      <c r="Q9" s="70">
        <v>76.95</v>
      </c>
      <c r="R9" s="70">
        <v>76.180000000000007</v>
      </c>
      <c r="S9" s="70">
        <v>80.53</v>
      </c>
      <c r="T9" s="70">
        <v>80.596152145063954</v>
      </c>
      <c r="U9" s="70">
        <v>80.59</v>
      </c>
      <c r="V9" s="253">
        <f>MIN(E9:U9)</f>
        <v>71.16</v>
      </c>
      <c r="W9" s="253">
        <f>MAX(E9:U9)</f>
        <v>87.69</v>
      </c>
      <c r="X9" s="253">
        <f>W9-V9</f>
        <v>16.53</v>
      </c>
    </row>
    <row r="10" spans="1:24">
      <c r="A10" s="3" t="s">
        <v>667</v>
      </c>
      <c r="B10" s="3" t="s">
        <v>668</v>
      </c>
      <c r="C10" s="3">
        <v>2</v>
      </c>
      <c r="D10" s="3" t="s">
        <v>759</v>
      </c>
      <c r="E10" s="70">
        <v>85.78</v>
      </c>
      <c r="F10" s="70">
        <v>84.55</v>
      </c>
      <c r="G10" s="70">
        <v>84.33</v>
      </c>
      <c r="H10" s="70">
        <v>85.73</v>
      </c>
      <c r="I10" s="70">
        <v>79.59</v>
      </c>
      <c r="J10" s="70">
        <v>80.92</v>
      </c>
      <c r="K10" s="70">
        <v>81.7</v>
      </c>
      <c r="L10" s="70">
        <v>78.84</v>
      </c>
      <c r="M10" s="70">
        <v>73.2</v>
      </c>
      <c r="N10" s="70">
        <v>73.02</v>
      </c>
      <c r="O10" s="70">
        <v>69.83</v>
      </c>
      <c r="P10" s="70">
        <v>73.14</v>
      </c>
      <c r="Q10" s="70">
        <v>70.05</v>
      </c>
      <c r="R10" s="70">
        <v>73.89</v>
      </c>
      <c r="S10" s="70">
        <v>73.150000000000006</v>
      </c>
      <c r="T10" s="70">
        <v>77.16</v>
      </c>
      <c r="U10" s="70">
        <v>73.040000000000006</v>
      </c>
      <c r="V10" s="253">
        <f t="shared" ref="V10:V32" si="0">MIN(E10:U10)</f>
        <v>69.83</v>
      </c>
      <c r="W10" s="253">
        <f t="shared" ref="W10:W32" si="1">MAX(E10:U10)</f>
        <v>85.78</v>
      </c>
      <c r="X10" s="253">
        <f t="shared" ref="X10:X32" si="2">W10-V10</f>
        <v>15.950000000000003</v>
      </c>
    </row>
    <row r="11" spans="1:24">
      <c r="A11" s="3" t="s">
        <v>669</v>
      </c>
      <c r="B11" s="3" t="s">
        <v>663</v>
      </c>
      <c r="C11" s="3">
        <v>3</v>
      </c>
      <c r="D11" s="3" t="s">
        <v>664</v>
      </c>
      <c r="E11" s="70">
        <v>81.34</v>
      </c>
      <c r="F11" s="70">
        <v>82.84</v>
      </c>
      <c r="G11" s="70">
        <v>85.46</v>
      </c>
      <c r="H11" s="70">
        <v>84.8</v>
      </c>
      <c r="I11" s="70">
        <v>82.08</v>
      </c>
      <c r="J11" s="70">
        <v>79.56</v>
      </c>
      <c r="K11" s="70">
        <v>83</v>
      </c>
      <c r="L11" s="70">
        <v>76.400000000000006</v>
      </c>
      <c r="M11" s="70">
        <v>82.77</v>
      </c>
      <c r="N11" s="70"/>
      <c r="O11" s="70">
        <v>77.73</v>
      </c>
      <c r="P11" s="70">
        <v>57.03</v>
      </c>
      <c r="Q11" s="70">
        <v>71.239999999999995</v>
      </c>
      <c r="R11" s="70">
        <v>61.92</v>
      </c>
      <c r="S11" s="70">
        <v>72.11</v>
      </c>
      <c r="T11" s="70">
        <v>75.92</v>
      </c>
      <c r="U11" s="70">
        <v>80.760000000000005</v>
      </c>
      <c r="V11" s="253">
        <f t="shared" si="0"/>
        <v>57.03</v>
      </c>
      <c r="W11" s="253">
        <f t="shared" si="1"/>
        <v>85.46</v>
      </c>
      <c r="X11" s="253">
        <f t="shared" si="2"/>
        <v>28.429999999999993</v>
      </c>
    </row>
    <row r="12" spans="1:24">
      <c r="A12" s="3" t="s">
        <v>665</v>
      </c>
      <c r="B12" s="3" t="s">
        <v>640</v>
      </c>
      <c r="C12" s="3">
        <v>4</v>
      </c>
      <c r="D12" s="3" t="s">
        <v>641</v>
      </c>
      <c r="E12" s="70">
        <v>75.900000000000006</v>
      </c>
      <c r="F12" s="70">
        <v>75.92</v>
      </c>
      <c r="G12" s="70">
        <v>78.680000000000007</v>
      </c>
      <c r="H12" s="70">
        <v>79.69</v>
      </c>
      <c r="I12" s="70">
        <v>76.75</v>
      </c>
      <c r="J12" s="70">
        <v>74.12</v>
      </c>
      <c r="K12" s="70">
        <v>77.06</v>
      </c>
      <c r="L12" s="70">
        <v>73.69</v>
      </c>
      <c r="M12" s="70">
        <v>78.53</v>
      </c>
      <c r="N12" s="70">
        <v>70.44</v>
      </c>
      <c r="O12" s="70">
        <v>75.680000000000007</v>
      </c>
      <c r="P12" s="70">
        <v>73.45</v>
      </c>
      <c r="Q12" s="70">
        <v>74.92</v>
      </c>
      <c r="R12" s="70">
        <v>74.069999999999993</v>
      </c>
      <c r="S12" s="70">
        <v>73.83</v>
      </c>
      <c r="T12" s="70">
        <v>80.41</v>
      </c>
      <c r="U12" s="70">
        <v>78.569999999999993</v>
      </c>
      <c r="V12" s="253">
        <f t="shared" si="0"/>
        <v>70.44</v>
      </c>
      <c r="W12" s="253">
        <f t="shared" si="1"/>
        <v>80.41</v>
      </c>
      <c r="X12" s="253">
        <f t="shared" si="2"/>
        <v>9.9699999999999989</v>
      </c>
    </row>
    <row r="13" spans="1:24">
      <c r="A13" s="3" t="s">
        <v>539</v>
      </c>
      <c r="B13" s="3" t="s">
        <v>540</v>
      </c>
      <c r="C13" s="3">
        <v>5</v>
      </c>
      <c r="D13" s="3" t="s">
        <v>541</v>
      </c>
      <c r="E13" s="70">
        <v>80.63</v>
      </c>
      <c r="F13" s="70"/>
      <c r="G13" s="70">
        <v>79.930000000000007</v>
      </c>
      <c r="H13" s="70"/>
      <c r="I13" s="70">
        <v>77.17</v>
      </c>
      <c r="J13" s="70"/>
      <c r="K13" s="70">
        <v>81.11</v>
      </c>
      <c r="L13" s="70"/>
      <c r="M13" s="70">
        <v>81.209999999999994</v>
      </c>
      <c r="N13" s="70"/>
      <c r="O13" s="70">
        <v>75.28</v>
      </c>
      <c r="P13" s="70"/>
      <c r="Q13" s="70">
        <v>75.78</v>
      </c>
      <c r="R13" s="70"/>
      <c r="S13" s="70">
        <v>76.849999999999994</v>
      </c>
      <c r="T13" s="70"/>
      <c r="U13" s="70">
        <v>79.760000000000005</v>
      </c>
      <c r="V13" s="253">
        <f t="shared" si="0"/>
        <v>75.28</v>
      </c>
      <c r="W13" s="253">
        <f t="shared" si="1"/>
        <v>81.209999999999994</v>
      </c>
      <c r="X13" s="253">
        <f t="shared" si="2"/>
        <v>5.9299999999999926</v>
      </c>
    </row>
    <row r="14" spans="1:24">
      <c r="A14" s="3" t="s">
        <v>542</v>
      </c>
      <c r="B14" s="3" t="s">
        <v>543</v>
      </c>
      <c r="C14" s="3">
        <v>6</v>
      </c>
      <c r="D14" s="3" t="s">
        <v>759</v>
      </c>
      <c r="E14" s="70">
        <v>88.35</v>
      </c>
      <c r="F14" s="70"/>
      <c r="G14" s="70">
        <v>86.09</v>
      </c>
      <c r="H14" s="70"/>
      <c r="I14" s="70">
        <v>83.57</v>
      </c>
      <c r="J14" s="70"/>
      <c r="K14" s="70">
        <v>83.78</v>
      </c>
      <c r="L14" s="70"/>
      <c r="M14" s="70">
        <v>78.790000000000006</v>
      </c>
      <c r="N14" s="70">
        <v>76.06</v>
      </c>
      <c r="O14" s="70">
        <v>68.16</v>
      </c>
      <c r="P14" s="70"/>
      <c r="Q14" s="70">
        <v>72.010000000000005</v>
      </c>
      <c r="R14" s="70"/>
      <c r="S14" s="27">
        <v>75.95</v>
      </c>
      <c r="T14" s="70"/>
      <c r="U14" s="70"/>
      <c r="V14" s="253">
        <f t="shared" si="0"/>
        <v>68.16</v>
      </c>
      <c r="W14" s="253">
        <f t="shared" si="1"/>
        <v>88.35</v>
      </c>
      <c r="X14" s="253">
        <f t="shared" si="2"/>
        <v>20.189999999999998</v>
      </c>
    </row>
    <row r="15" spans="1:24">
      <c r="A15" s="3" t="s">
        <v>628</v>
      </c>
      <c r="B15" s="3" t="s">
        <v>629</v>
      </c>
      <c r="C15" s="3">
        <v>7</v>
      </c>
      <c r="D15" s="3" t="s">
        <v>641</v>
      </c>
      <c r="E15" s="70">
        <v>77.260000000000005</v>
      </c>
      <c r="F15" s="70">
        <v>78.98</v>
      </c>
      <c r="G15" s="70">
        <v>80.069999999999993</v>
      </c>
      <c r="H15" s="70">
        <v>80.92</v>
      </c>
      <c r="I15" s="70">
        <v>78.739999999999995</v>
      </c>
      <c r="J15" s="70">
        <v>76.47</v>
      </c>
      <c r="K15" s="70">
        <v>70.94</v>
      </c>
      <c r="L15" s="70">
        <v>77.36</v>
      </c>
      <c r="M15" s="70">
        <v>77.959999999999994</v>
      </c>
      <c r="N15" s="70">
        <v>69.040000000000006</v>
      </c>
      <c r="O15" s="70">
        <v>67.13</v>
      </c>
      <c r="P15" s="70">
        <v>64.87</v>
      </c>
      <c r="Q15" s="70">
        <v>60.29</v>
      </c>
      <c r="R15" s="70">
        <v>68.959999999999994</v>
      </c>
      <c r="S15" s="70">
        <v>68.86</v>
      </c>
      <c r="T15" s="70">
        <v>74.58</v>
      </c>
      <c r="U15" s="70"/>
      <c r="V15" s="253">
        <f t="shared" si="0"/>
        <v>60.29</v>
      </c>
      <c r="W15" s="253">
        <f t="shared" si="1"/>
        <v>80.92</v>
      </c>
      <c r="X15" s="253">
        <f t="shared" si="2"/>
        <v>20.630000000000003</v>
      </c>
    </row>
    <row r="16" spans="1:24">
      <c r="A16" s="3" t="s">
        <v>630</v>
      </c>
      <c r="B16" s="3" t="s">
        <v>631</v>
      </c>
      <c r="C16" s="3">
        <v>8</v>
      </c>
      <c r="D16" s="3" t="s">
        <v>759</v>
      </c>
      <c r="E16" s="70">
        <v>83.7</v>
      </c>
      <c r="F16" s="70"/>
      <c r="G16" s="70">
        <v>85.44</v>
      </c>
      <c r="H16" s="70"/>
      <c r="I16" s="70">
        <v>85.01</v>
      </c>
      <c r="J16" s="70"/>
      <c r="K16" s="70">
        <v>85.2</v>
      </c>
      <c r="L16" s="70"/>
      <c r="M16" s="70">
        <v>86.33</v>
      </c>
      <c r="N16" s="70"/>
      <c r="O16" s="70">
        <v>78.31</v>
      </c>
      <c r="P16" s="70"/>
      <c r="Q16" s="70">
        <v>77</v>
      </c>
      <c r="R16" s="70"/>
      <c r="S16" s="70">
        <v>82.42</v>
      </c>
      <c r="T16" s="70"/>
      <c r="U16" s="70"/>
      <c r="V16" s="253">
        <f t="shared" si="0"/>
        <v>77</v>
      </c>
      <c r="W16" s="253">
        <f t="shared" si="1"/>
        <v>86.33</v>
      </c>
      <c r="X16" s="253">
        <f t="shared" si="2"/>
        <v>9.3299999999999983</v>
      </c>
    </row>
    <row r="17" spans="1:24">
      <c r="A17" s="3" t="s">
        <v>632</v>
      </c>
      <c r="B17" s="3" t="s">
        <v>633</v>
      </c>
      <c r="C17" s="3">
        <v>9</v>
      </c>
      <c r="D17" s="3" t="s">
        <v>641</v>
      </c>
      <c r="E17" s="70">
        <v>75.92</v>
      </c>
      <c r="F17" s="70">
        <v>74.39</v>
      </c>
      <c r="G17" s="70">
        <v>80.56</v>
      </c>
      <c r="H17" s="70">
        <v>81.349999999999994</v>
      </c>
      <c r="I17" s="70">
        <v>78</v>
      </c>
      <c r="J17" s="70">
        <v>75.38</v>
      </c>
      <c r="K17" s="70">
        <v>77.47</v>
      </c>
      <c r="L17" s="70">
        <v>76.3</v>
      </c>
      <c r="M17" s="70">
        <v>76.12</v>
      </c>
      <c r="N17" s="70">
        <v>70.61</v>
      </c>
      <c r="O17" s="70">
        <v>71.41</v>
      </c>
      <c r="P17" s="70">
        <v>69.73</v>
      </c>
      <c r="Q17" s="70">
        <v>70.989999999999995</v>
      </c>
      <c r="R17" s="70">
        <v>69.02</v>
      </c>
      <c r="S17" s="70">
        <v>76.84</v>
      </c>
      <c r="T17" s="70">
        <v>75.989999999999995</v>
      </c>
      <c r="U17" s="70"/>
      <c r="V17" s="253">
        <f t="shared" si="0"/>
        <v>69.02</v>
      </c>
      <c r="W17" s="253">
        <f t="shared" si="1"/>
        <v>81.349999999999994</v>
      </c>
      <c r="X17" s="253">
        <f t="shared" si="2"/>
        <v>12.329999999999998</v>
      </c>
    </row>
    <row r="18" spans="1:24">
      <c r="A18" s="3" t="s">
        <v>634</v>
      </c>
      <c r="B18" s="3" t="s">
        <v>715</v>
      </c>
      <c r="C18" s="3">
        <v>10</v>
      </c>
      <c r="D18" s="3" t="s">
        <v>664</v>
      </c>
      <c r="E18" s="70">
        <v>84.32</v>
      </c>
      <c r="F18" s="70">
        <v>79.900000000000006</v>
      </c>
      <c r="G18" s="70">
        <v>80.66</v>
      </c>
      <c r="H18" s="70">
        <v>80.12</v>
      </c>
      <c r="I18" s="70">
        <v>74.83</v>
      </c>
      <c r="J18" s="70">
        <v>73</v>
      </c>
      <c r="K18" s="70">
        <v>76.06</v>
      </c>
      <c r="L18" s="70">
        <v>75.08</v>
      </c>
      <c r="M18" s="70">
        <v>80.42</v>
      </c>
      <c r="N18" s="70">
        <v>73.55</v>
      </c>
      <c r="O18" s="70">
        <v>72.819999999999993</v>
      </c>
      <c r="P18" s="70">
        <v>72.739999999999995</v>
      </c>
      <c r="Q18" s="70">
        <v>65.2</v>
      </c>
      <c r="R18" s="70">
        <v>72.97</v>
      </c>
      <c r="S18" s="70">
        <v>80.930000000000007</v>
      </c>
      <c r="T18" s="70">
        <v>82.29</v>
      </c>
      <c r="U18" s="70">
        <v>81.99</v>
      </c>
      <c r="V18" s="253">
        <f t="shared" si="0"/>
        <v>65.2</v>
      </c>
      <c r="W18" s="253">
        <f t="shared" si="1"/>
        <v>84.32</v>
      </c>
      <c r="X18" s="253">
        <f t="shared" si="2"/>
        <v>19.11999999999999</v>
      </c>
    </row>
    <row r="19" spans="1:24">
      <c r="A19" s="3" t="s">
        <v>716</v>
      </c>
      <c r="B19" s="3" t="s">
        <v>717</v>
      </c>
      <c r="C19" s="3">
        <v>11</v>
      </c>
      <c r="D19" s="3" t="s">
        <v>541</v>
      </c>
      <c r="E19" s="70">
        <v>89.52</v>
      </c>
      <c r="F19" s="70"/>
      <c r="G19" s="70">
        <v>89.83</v>
      </c>
      <c r="H19" s="70"/>
      <c r="I19" s="70">
        <v>87</v>
      </c>
      <c r="J19" s="70"/>
      <c r="K19" s="70">
        <v>87.99</v>
      </c>
      <c r="L19" s="70"/>
      <c r="M19" s="70">
        <v>87.99</v>
      </c>
      <c r="N19" s="70"/>
      <c r="O19" s="70">
        <v>81.099999999999994</v>
      </c>
      <c r="P19" s="70"/>
      <c r="Q19" s="70">
        <v>81.400000000000006</v>
      </c>
      <c r="R19" s="70"/>
      <c r="S19" s="70">
        <v>78.47</v>
      </c>
      <c r="T19" s="70"/>
      <c r="U19" s="70"/>
      <c r="V19" s="253">
        <f t="shared" si="0"/>
        <v>78.47</v>
      </c>
      <c r="W19" s="253">
        <f t="shared" si="1"/>
        <v>89.83</v>
      </c>
      <c r="X19" s="253">
        <f t="shared" si="2"/>
        <v>11.36</v>
      </c>
    </row>
    <row r="20" spans="1:24">
      <c r="A20" s="3" t="s">
        <v>718</v>
      </c>
      <c r="B20" s="3" t="s">
        <v>719</v>
      </c>
      <c r="C20" s="3">
        <v>12</v>
      </c>
      <c r="D20" s="3" t="s">
        <v>664</v>
      </c>
      <c r="E20" s="70">
        <v>89.31</v>
      </c>
      <c r="F20" s="70">
        <v>82.44</v>
      </c>
      <c r="G20" s="70">
        <v>83.42</v>
      </c>
      <c r="H20" s="70">
        <v>83.68</v>
      </c>
      <c r="I20" s="70">
        <v>80</v>
      </c>
      <c r="J20" s="70">
        <v>81.83</v>
      </c>
      <c r="K20" s="70">
        <v>84.59</v>
      </c>
      <c r="L20" s="70">
        <v>79.680000000000007</v>
      </c>
      <c r="M20" s="70">
        <v>79.06</v>
      </c>
      <c r="N20" s="70">
        <v>79.73</v>
      </c>
      <c r="O20" s="70">
        <v>82</v>
      </c>
      <c r="P20" s="70">
        <v>78.650000000000006</v>
      </c>
      <c r="Q20" s="70">
        <v>75.8</v>
      </c>
      <c r="R20" s="70">
        <v>78.19</v>
      </c>
      <c r="S20" s="70">
        <v>76.349999999999994</v>
      </c>
      <c r="T20" s="70">
        <v>79.5</v>
      </c>
      <c r="U20" s="70"/>
      <c r="V20" s="253">
        <f t="shared" si="0"/>
        <v>75.8</v>
      </c>
      <c r="W20" s="253">
        <f t="shared" si="1"/>
        <v>89.31</v>
      </c>
      <c r="X20" s="253">
        <f t="shared" si="2"/>
        <v>13.510000000000005</v>
      </c>
    </row>
    <row r="21" spans="1:24">
      <c r="A21" s="3" t="s">
        <v>711</v>
      </c>
      <c r="B21" s="3" t="s">
        <v>712</v>
      </c>
      <c r="C21" s="3">
        <v>13</v>
      </c>
      <c r="D21" s="3" t="s">
        <v>713</v>
      </c>
      <c r="E21" s="70">
        <v>86.63</v>
      </c>
      <c r="F21" s="70">
        <v>85.97</v>
      </c>
      <c r="G21" s="70">
        <v>87.23</v>
      </c>
      <c r="H21" s="70">
        <v>86.63</v>
      </c>
      <c r="I21" s="70">
        <v>84.73</v>
      </c>
      <c r="J21" s="70">
        <v>83.55</v>
      </c>
      <c r="K21" s="70">
        <v>85.37</v>
      </c>
      <c r="L21" s="70">
        <v>82.13</v>
      </c>
      <c r="M21" s="70">
        <v>83.95</v>
      </c>
      <c r="N21" s="70">
        <v>77.16</v>
      </c>
      <c r="O21" s="70">
        <v>76.06</v>
      </c>
      <c r="P21" s="70">
        <v>74.430000000000007</v>
      </c>
      <c r="Q21" s="70">
        <v>78.14</v>
      </c>
      <c r="R21" s="70">
        <v>77.13</v>
      </c>
      <c r="S21" s="70">
        <v>81.22</v>
      </c>
      <c r="T21" s="70">
        <v>79.69</v>
      </c>
      <c r="U21" s="70"/>
      <c r="V21" s="253">
        <f t="shared" si="0"/>
        <v>74.430000000000007</v>
      </c>
      <c r="W21" s="253">
        <f t="shared" si="1"/>
        <v>87.23</v>
      </c>
      <c r="X21" s="253">
        <f t="shared" si="2"/>
        <v>12.799999999999997</v>
      </c>
    </row>
    <row r="22" spans="1:24">
      <c r="A22" s="3" t="s">
        <v>714</v>
      </c>
      <c r="B22" s="3" t="s">
        <v>530</v>
      </c>
      <c r="C22" s="3">
        <v>14</v>
      </c>
      <c r="D22" s="3" t="s">
        <v>641</v>
      </c>
      <c r="E22" s="70">
        <v>80.150000000000006</v>
      </c>
      <c r="F22" s="70">
        <v>77.540000000000006</v>
      </c>
      <c r="G22" s="70">
        <v>79.28</v>
      </c>
      <c r="H22" s="70">
        <v>79.69</v>
      </c>
      <c r="I22" s="70">
        <v>77.47</v>
      </c>
      <c r="J22" s="70">
        <f>((314647+14607)/454200)*100</f>
        <v>72.490973139586089</v>
      </c>
      <c r="K22" s="70">
        <v>78.150000000000006</v>
      </c>
      <c r="L22" s="70">
        <v>76.25</v>
      </c>
      <c r="M22" s="70">
        <v>78.930000000000007</v>
      </c>
      <c r="N22" s="70">
        <v>73.430000000000007</v>
      </c>
      <c r="O22" s="70">
        <v>76.72</v>
      </c>
      <c r="P22" s="70">
        <v>71.89</v>
      </c>
      <c r="Q22" s="70">
        <v>75.75</v>
      </c>
      <c r="R22" s="70">
        <v>69.459999999999994</v>
      </c>
      <c r="S22" s="70">
        <v>75.62</v>
      </c>
      <c r="T22" s="70">
        <v>69.97</v>
      </c>
      <c r="U22" s="70">
        <v>82.3</v>
      </c>
      <c r="V22" s="253">
        <f t="shared" si="0"/>
        <v>69.459999999999994</v>
      </c>
      <c r="W22" s="253">
        <f t="shared" si="1"/>
        <v>82.3</v>
      </c>
      <c r="X22" s="253">
        <f t="shared" si="2"/>
        <v>12.840000000000003</v>
      </c>
    </row>
    <row r="23" spans="1:24">
      <c r="A23" s="3" t="s">
        <v>620</v>
      </c>
      <c r="B23" s="3" t="s">
        <v>621</v>
      </c>
      <c r="C23" s="3">
        <v>15</v>
      </c>
      <c r="D23" s="3" t="s">
        <v>541</v>
      </c>
      <c r="E23" s="70">
        <v>86.8</v>
      </c>
      <c r="F23" s="70"/>
      <c r="G23" s="70">
        <v>86.97</v>
      </c>
      <c r="H23" s="70"/>
      <c r="I23" s="70">
        <v>80.209999999999994</v>
      </c>
      <c r="J23" s="70">
        <v>72.490973139586089</v>
      </c>
      <c r="K23" s="70">
        <v>83.7</v>
      </c>
      <c r="L23" s="70"/>
      <c r="M23" s="70">
        <v>81.11</v>
      </c>
      <c r="N23" s="70"/>
      <c r="O23" s="70">
        <v>77.94</v>
      </c>
      <c r="P23" s="70"/>
      <c r="Q23" s="70">
        <v>73.89</v>
      </c>
      <c r="R23" s="70"/>
      <c r="S23" s="70">
        <v>73.23</v>
      </c>
      <c r="T23" s="70"/>
      <c r="U23" s="70">
        <v>81.13</v>
      </c>
      <c r="V23" s="253">
        <f t="shared" si="0"/>
        <v>72.490973139586089</v>
      </c>
      <c r="W23" s="253">
        <f t="shared" si="1"/>
        <v>86.97</v>
      </c>
      <c r="X23" s="253">
        <f t="shared" si="2"/>
        <v>14.47902686041391</v>
      </c>
    </row>
    <row r="24" spans="1:24">
      <c r="A24" s="3" t="s">
        <v>622</v>
      </c>
      <c r="B24" s="3" t="s">
        <v>925</v>
      </c>
      <c r="C24" s="3">
        <v>16</v>
      </c>
      <c r="D24" s="3" t="s">
        <v>541</v>
      </c>
      <c r="E24" s="70">
        <v>85.84</v>
      </c>
      <c r="F24" s="70"/>
      <c r="G24" s="70">
        <v>83.56</v>
      </c>
      <c r="H24" s="70"/>
      <c r="I24" s="70">
        <v>70.59</v>
      </c>
      <c r="J24" s="70"/>
      <c r="K24" s="70">
        <v>83.2</v>
      </c>
      <c r="L24" s="70"/>
      <c r="M24" s="70">
        <v>82.32</v>
      </c>
      <c r="N24" s="70"/>
      <c r="O24" s="70">
        <v>73.97</v>
      </c>
      <c r="P24" s="70"/>
      <c r="Q24" s="70">
        <v>72.05</v>
      </c>
      <c r="R24" s="70"/>
      <c r="S24" s="70">
        <v>75.790000000000006</v>
      </c>
      <c r="T24" s="70"/>
      <c r="U24" s="70"/>
      <c r="V24" s="253">
        <f t="shared" si="0"/>
        <v>70.59</v>
      </c>
      <c r="W24" s="253">
        <f t="shared" si="1"/>
        <v>85.84</v>
      </c>
      <c r="X24" s="253">
        <f t="shared" si="2"/>
        <v>15.25</v>
      </c>
    </row>
    <row r="25" spans="1:24">
      <c r="A25" s="3" t="s">
        <v>926</v>
      </c>
      <c r="B25" s="3" t="s">
        <v>927</v>
      </c>
      <c r="C25" s="3">
        <v>17</v>
      </c>
      <c r="D25" s="3" t="s">
        <v>664</v>
      </c>
      <c r="E25" s="70">
        <v>80.069999999999993</v>
      </c>
      <c r="F25" s="70">
        <v>76.62</v>
      </c>
      <c r="G25" s="70">
        <v>80.099999999999994</v>
      </c>
      <c r="H25" s="70">
        <v>80.260000000000005</v>
      </c>
      <c r="I25" s="70">
        <v>65.319999999999993</v>
      </c>
      <c r="J25" s="70">
        <v>71.3</v>
      </c>
      <c r="K25" s="70">
        <v>75.69</v>
      </c>
      <c r="L25" s="70">
        <v>69.05</v>
      </c>
      <c r="M25" s="70">
        <f>(407768/(AVERAGE(576854,625865))*100)</f>
        <v>67.807692403628778</v>
      </c>
      <c r="N25" s="70">
        <v>70.569999999999993</v>
      </c>
      <c r="O25" s="70">
        <v>63.79</v>
      </c>
      <c r="P25" s="70">
        <v>67.34</v>
      </c>
      <c r="Q25" s="70">
        <v>72.23</v>
      </c>
      <c r="R25" s="70">
        <v>56.73</v>
      </c>
      <c r="S25" s="70">
        <v>68.28</v>
      </c>
      <c r="T25" s="70">
        <v>69.849999999999994</v>
      </c>
      <c r="U25" s="70">
        <v>73.099999999999994</v>
      </c>
      <c r="V25" s="253">
        <f t="shared" si="0"/>
        <v>56.73</v>
      </c>
      <c r="W25" s="253">
        <f t="shared" si="1"/>
        <v>80.260000000000005</v>
      </c>
      <c r="X25" s="253">
        <f t="shared" si="2"/>
        <v>23.530000000000008</v>
      </c>
    </row>
    <row r="26" spans="1:24">
      <c r="A26" s="3" t="s">
        <v>928</v>
      </c>
      <c r="B26" s="3" t="s">
        <v>929</v>
      </c>
      <c r="C26" s="3">
        <v>18</v>
      </c>
      <c r="D26" s="3" t="s">
        <v>713</v>
      </c>
      <c r="E26" s="70">
        <v>86.4</v>
      </c>
      <c r="F26" s="70"/>
      <c r="G26" s="70">
        <v>84.6</v>
      </c>
      <c r="H26" s="70"/>
      <c r="I26" s="70">
        <v>83.92</v>
      </c>
      <c r="J26" s="70"/>
      <c r="K26" s="70">
        <v>84.37</v>
      </c>
      <c r="L26" s="70"/>
      <c r="M26" s="70">
        <v>83.16</v>
      </c>
      <c r="N26" s="70"/>
      <c r="O26" s="70">
        <v>77.39</v>
      </c>
      <c r="P26" s="70"/>
      <c r="Q26" s="70">
        <v>73.7</v>
      </c>
      <c r="R26" s="70"/>
      <c r="S26" s="70">
        <v>75.989999999999995</v>
      </c>
      <c r="T26" s="70"/>
      <c r="U26" s="70"/>
      <c r="V26" s="253">
        <f t="shared" si="0"/>
        <v>73.7</v>
      </c>
      <c r="W26" s="253">
        <f t="shared" si="1"/>
        <v>86.4</v>
      </c>
      <c r="X26" s="253">
        <f t="shared" si="2"/>
        <v>12.700000000000003</v>
      </c>
    </row>
    <row r="27" spans="1:24">
      <c r="A27" s="3" t="s">
        <v>841</v>
      </c>
      <c r="B27" s="3" t="s">
        <v>659</v>
      </c>
      <c r="C27" s="3">
        <v>19</v>
      </c>
      <c r="D27" s="3" t="s">
        <v>713</v>
      </c>
      <c r="E27" s="70">
        <v>84.99</v>
      </c>
      <c r="F27" s="70">
        <v>84.76</v>
      </c>
      <c r="G27" s="70">
        <v>86.15</v>
      </c>
      <c r="H27" s="70">
        <v>83.83</v>
      </c>
      <c r="I27" s="70">
        <v>77.23</v>
      </c>
      <c r="J27" s="70">
        <v>79.58</v>
      </c>
      <c r="K27" s="70">
        <v>80.209999999999994</v>
      </c>
      <c r="L27" s="70">
        <v>79.260000000000005</v>
      </c>
      <c r="M27" s="70">
        <v>80.27</v>
      </c>
      <c r="N27" s="70">
        <v>74.569999999999993</v>
      </c>
      <c r="O27" s="70">
        <v>61.91</v>
      </c>
      <c r="P27" s="70">
        <v>72.510000000000005</v>
      </c>
      <c r="Q27" s="70">
        <v>64.02</v>
      </c>
      <c r="R27" s="70">
        <v>71.45</v>
      </c>
      <c r="S27" s="70">
        <v>77.39</v>
      </c>
      <c r="T27" s="70">
        <v>78.39</v>
      </c>
      <c r="U27" s="70"/>
      <c r="V27" s="253">
        <f t="shared" si="0"/>
        <v>61.91</v>
      </c>
      <c r="W27" s="253">
        <f t="shared" si="1"/>
        <v>86.15</v>
      </c>
      <c r="X27" s="253">
        <f t="shared" si="2"/>
        <v>24.240000000000009</v>
      </c>
    </row>
    <row r="28" spans="1:24">
      <c r="A28" s="3" t="s">
        <v>660</v>
      </c>
      <c r="B28" s="3" t="s">
        <v>661</v>
      </c>
      <c r="C28" s="3">
        <v>20</v>
      </c>
      <c r="D28" s="3" t="s">
        <v>541</v>
      </c>
      <c r="E28" s="70">
        <v>82.22</v>
      </c>
      <c r="F28" s="70">
        <v>79.66</v>
      </c>
      <c r="G28" s="70">
        <v>79.37</v>
      </c>
      <c r="H28" s="70">
        <v>80.13</v>
      </c>
      <c r="I28" s="70">
        <v>77.959999999999994</v>
      </c>
      <c r="J28" s="70">
        <v>77</v>
      </c>
      <c r="K28" s="70">
        <v>81</v>
      </c>
      <c r="L28" s="70">
        <v>79.03</v>
      </c>
      <c r="M28" s="70">
        <v>80.3</v>
      </c>
      <c r="N28" s="70"/>
      <c r="O28" s="70">
        <v>76.260000000000005</v>
      </c>
      <c r="P28" s="70"/>
      <c r="Q28" s="70">
        <v>78.290000000000006</v>
      </c>
      <c r="R28" s="70"/>
      <c r="S28" s="70">
        <v>75.61</v>
      </c>
      <c r="T28" s="70"/>
      <c r="U28" s="70">
        <v>75.61</v>
      </c>
      <c r="V28" s="253">
        <f t="shared" si="0"/>
        <v>75.61</v>
      </c>
      <c r="W28" s="253">
        <f t="shared" si="1"/>
        <v>82.22</v>
      </c>
      <c r="X28" s="253">
        <f t="shared" si="2"/>
        <v>6.6099999999999994</v>
      </c>
    </row>
    <row r="29" spans="1:24">
      <c r="A29" s="3" t="s">
        <v>80</v>
      </c>
      <c r="B29" s="3" t="s">
        <v>747</v>
      </c>
      <c r="C29" s="3">
        <v>21</v>
      </c>
      <c r="D29" s="3" t="s">
        <v>759</v>
      </c>
      <c r="E29" s="70">
        <v>88.28</v>
      </c>
      <c r="F29" s="70"/>
      <c r="G29" s="70">
        <v>86.87</v>
      </c>
      <c r="H29" s="70"/>
      <c r="I29" s="70">
        <v>76.209999999999994</v>
      </c>
      <c r="J29" s="70"/>
      <c r="K29" s="70">
        <v>81.150000000000006</v>
      </c>
      <c r="L29" s="70"/>
      <c r="M29" s="70">
        <v>80.83</v>
      </c>
      <c r="N29" s="70"/>
      <c r="O29" s="70">
        <v>75.680000000000007</v>
      </c>
      <c r="P29" s="70"/>
      <c r="Q29" s="70">
        <v>77.040000000000006</v>
      </c>
      <c r="R29" s="70"/>
      <c r="S29" s="70">
        <v>74.86</v>
      </c>
      <c r="T29" s="70"/>
      <c r="U29" s="70"/>
      <c r="V29" s="253">
        <f t="shared" si="0"/>
        <v>74.86</v>
      </c>
      <c r="W29" s="253">
        <f t="shared" si="1"/>
        <v>88.28</v>
      </c>
      <c r="X29" s="253">
        <f t="shared" si="2"/>
        <v>13.420000000000002</v>
      </c>
    </row>
    <row r="30" spans="1:24">
      <c r="A30" s="3" t="s">
        <v>721</v>
      </c>
      <c r="B30" s="3" t="s">
        <v>722</v>
      </c>
      <c r="C30" s="3">
        <v>22</v>
      </c>
      <c r="D30" s="3" t="s">
        <v>664</v>
      </c>
      <c r="E30" s="70">
        <v>69.89</v>
      </c>
      <c r="F30" s="70"/>
      <c r="G30" s="70">
        <v>72.17</v>
      </c>
      <c r="H30" s="70">
        <v>72.86</v>
      </c>
      <c r="I30" s="70">
        <v>70.16</v>
      </c>
      <c r="J30" s="70">
        <v>64.5</v>
      </c>
      <c r="K30" s="70">
        <v>71.319999999999993</v>
      </c>
      <c r="L30" s="70">
        <v>59.95</v>
      </c>
      <c r="M30" s="70">
        <v>68.95</v>
      </c>
      <c r="N30" s="70"/>
      <c r="O30" s="70"/>
      <c r="P30" s="70">
        <v>64.87</v>
      </c>
      <c r="Q30" s="11"/>
      <c r="R30" s="70">
        <v>57.72</v>
      </c>
      <c r="S30" s="70"/>
      <c r="T30" s="70">
        <v>78.19</v>
      </c>
      <c r="U30" s="70" t="s">
        <v>3343</v>
      </c>
      <c r="V30" s="253">
        <f t="shared" si="0"/>
        <v>57.72</v>
      </c>
      <c r="W30" s="253">
        <f t="shared" si="1"/>
        <v>78.19</v>
      </c>
      <c r="X30" s="253">
        <f t="shared" si="2"/>
        <v>20.47</v>
      </c>
    </row>
    <row r="31" spans="1:24">
      <c r="A31" s="3" t="s">
        <v>723</v>
      </c>
      <c r="B31" s="3" t="s">
        <v>724</v>
      </c>
      <c r="C31" s="3">
        <v>23</v>
      </c>
      <c r="D31" s="3" t="s">
        <v>541</v>
      </c>
      <c r="E31" s="70">
        <v>90.56</v>
      </c>
      <c r="F31" s="70">
        <v>74.849999999999994</v>
      </c>
      <c r="G31" s="70"/>
      <c r="H31" s="70">
        <v>70.260000000000005</v>
      </c>
      <c r="I31" s="70"/>
      <c r="J31" s="70"/>
      <c r="K31" s="70">
        <v>81.56</v>
      </c>
      <c r="L31" s="70"/>
      <c r="M31" s="70">
        <v>70.89</v>
      </c>
      <c r="N31" s="70"/>
      <c r="O31" s="70">
        <v>71.959999999999994</v>
      </c>
      <c r="P31" s="70"/>
      <c r="Q31" s="70">
        <v>68.78</v>
      </c>
      <c r="R31" s="70"/>
      <c r="S31" s="70">
        <v>66.31</v>
      </c>
      <c r="T31" s="70"/>
      <c r="U31" s="70"/>
      <c r="V31" s="253">
        <f t="shared" si="0"/>
        <v>66.31</v>
      </c>
      <c r="W31" s="253">
        <f t="shared" si="1"/>
        <v>90.56</v>
      </c>
      <c r="X31" s="253">
        <f t="shared" si="2"/>
        <v>24.25</v>
      </c>
    </row>
    <row r="32" spans="1:24">
      <c r="A32" s="3" t="s">
        <v>725</v>
      </c>
      <c r="B32" s="3" t="s">
        <v>726</v>
      </c>
      <c r="C32" s="3">
        <v>24</v>
      </c>
      <c r="D32" s="3" t="s">
        <v>664</v>
      </c>
      <c r="E32" s="70">
        <v>81.67</v>
      </c>
      <c r="F32" s="70">
        <v>80.73</v>
      </c>
      <c r="G32" s="70">
        <v>81.16</v>
      </c>
      <c r="H32" s="70">
        <v>74.92</v>
      </c>
      <c r="I32" s="70">
        <v>74.55</v>
      </c>
      <c r="J32" s="70"/>
      <c r="K32" s="70">
        <v>76.23</v>
      </c>
      <c r="L32" s="70"/>
      <c r="M32" s="70">
        <v>76.84</v>
      </c>
      <c r="N32" s="70"/>
      <c r="O32" s="70">
        <v>72.760000000000005</v>
      </c>
      <c r="P32" s="70"/>
      <c r="Q32" s="70">
        <v>65.900000000000006</v>
      </c>
      <c r="R32" s="70"/>
      <c r="S32" s="70">
        <v>79.849999999999994</v>
      </c>
      <c r="T32" s="70"/>
      <c r="U32" s="70"/>
      <c r="V32" s="253">
        <f t="shared" si="0"/>
        <v>65.900000000000006</v>
      </c>
      <c r="W32" s="253">
        <f t="shared" si="1"/>
        <v>81.67</v>
      </c>
      <c r="X32" s="253">
        <f t="shared" si="2"/>
        <v>15.769999999999996</v>
      </c>
    </row>
    <row r="33" spans="1:21">
      <c r="E33" s="45"/>
      <c r="F33" s="45"/>
      <c r="G33" s="45"/>
      <c r="H33" s="45"/>
      <c r="I33" s="45"/>
      <c r="J33" s="70">
        <f>314647+14607</f>
        <v>329254</v>
      </c>
      <c r="K33" s="45"/>
      <c r="L33" s="45"/>
      <c r="M33" s="45"/>
      <c r="N33" s="45"/>
      <c r="O33" s="45"/>
      <c r="P33" s="45"/>
      <c r="Q33" s="45"/>
      <c r="R33" s="45"/>
      <c r="S33" s="45"/>
    </row>
    <row r="34" spans="1:21">
      <c r="A34" s="3" t="s">
        <v>727</v>
      </c>
      <c r="E34" s="45"/>
      <c r="F34" s="45"/>
      <c r="G34" s="45"/>
      <c r="H34" s="45"/>
      <c r="I34" s="45"/>
      <c r="J34" s="45"/>
      <c r="K34" s="45"/>
      <c r="L34" s="45"/>
      <c r="M34" s="45"/>
      <c r="N34" s="45"/>
      <c r="O34" s="45"/>
      <c r="P34" s="45"/>
      <c r="Q34" s="45"/>
      <c r="R34" s="45"/>
      <c r="S34" s="45"/>
    </row>
    <row r="35" spans="1:21" ht="121">
      <c r="A35" s="7" t="s">
        <v>728</v>
      </c>
      <c r="B35" s="7"/>
      <c r="C35" s="7"/>
      <c r="D35" s="7"/>
      <c r="E35" s="7" t="s">
        <v>1362</v>
      </c>
      <c r="F35" s="7" t="s">
        <v>1362</v>
      </c>
      <c r="G35" s="7" t="s">
        <v>1362</v>
      </c>
      <c r="H35" s="7" t="s">
        <v>1362</v>
      </c>
      <c r="I35" s="7" t="s">
        <v>1362</v>
      </c>
      <c r="J35" s="7" t="s">
        <v>1362</v>
      </c>
      <c r="K35" s="7" t="s">
        <v>1362</v>
      </c>
      <c r="L35" s="7" t="s">
        <v>1362</v>
      </c>
      <c r="M35" s="7" t="s">
        <v>1362</v>
      </c>
      <c r="N35" s="7" t="s">
        <v>1362</v>
      </c>
      <c r="O35" s="7" t="s">
        <v>1362</v>
      </c>
      <c r="P35" s="7" t="s">
        <v>1362</v>
      </c>
      <c r="Q35" s="7" t="s">
        <v>1362</v>
      </c>
      <c r="R35" s="7" t="s">
        <v>1905</v>
      </c>
      <c r="S35" s="7" t="s">
        <v>1905</v>
      </c>
      <c r="T35" s="7" t="s">
        <v>2892</v>
      </c>
      <c r="U35" s="63" t="s">
        <v>3344</v>
      </c>
    </row>
    <row r="36" spans="1:21" ht="363">
      <c r="A36" s="7"/>
      <c r="B36" s="7"/>
      <c r="C36" s="7"/>
      <c r="D36" s="7"/>
      <c r="E36" s="1"/>
      <c r="F36" s="1"/>
      <c r="G36" s="1"/>
      <c r="H36" s="1"/>
      <c r="I36" s="1"/>
      <c r="J36" s="1" t="s">
        <v>3651</v>
      </c>
      <c r="K36" s="1"/>
      <c r="L36" s="1"/>
      <c r="M36" s="1" t="s">
        <v>3650</v>
      </c>
      <c r="N36" s="1"/>
      <c r="O36" s="1"/>
      <c r="P36" s="1"/>
      <c r="Q36" s="1" t="s">
        <v>1909</v>
      </c>
      <c r="R36" s="1" t="s">
        <v>1910</v>
      </c>
      <c r="S36" s="1" t="s">
        <v>1911</v>
      </c>
      <c r="T36" s="1" t="s">
        <v>2893</v>
      </c>
      <c r="U36" s="1"/>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6"/>
  <sheetViews>
    <sheetView workbookViewId="0">
      <pane xSplit="10040" activePane="topRight"/>
      <selection pane="topRight"/>
    </sheetView>
  </sheetViews>
  <sheetFormatPr baseColWidth="10" defaultRowHeight="13" x14ac:dyDescent="0"/>
  <cols>
    <col min="1" max="1" width="15.140625" style="3" customWidth="1"/>
    <col min="2" max="3" width="5.7109375" style="3" customWidth="1"/>
    <col min="4" max="5" width="10.7109375" style="3"/>
    <col min="6" max="66" width="10.7109375" style="6"/>
  </cols>
  <sheetData>
    <row r="1" spans="1:69">
      <c r="A1" s="184" t="s">
        <v>2404</v>
      </c>
    </row>
    <row r="2" spans="1:69">
      <c r="A2" s="1" t="s">
        <v>614</v>
      </c>
      <c r="B2" s="1"/>
      <c r="C2" s="1"/>
      <c r="D2" s="1"/>
      <c r="E2" s="1"/>
      <c r="F2" s="1" t="s">
        <v>1309</v>
      </c>
      <c r="G2" s="1" t="s">
        <v>1309</v>
      </c>
      <c r="H2" s="1" t="s">
        <v>1309</v>
      </c>
      <c r="I2" s="1" t="s">
        <v>1309</v>
      </c>
      <c r="J2" s="1" t="s">
        <v>1309</v>
      </c>
      <c r="K2" s="1" t="s">
        <v>1309</v>
      </c>
      <c r="L2" s="1" t="s">
        <v>1309</v>
      </c>
      <c r="M2" s="1" t="s">
        <v>1309</v>
      </c>
      <c r="N2" s="1" t="s">
        <v>1309</v>
      </c>
      <c r="O2" s="1" t="s">
        <v>1309</v>
      </c>
      <c r="P2" s="1" t="s">
        <v>1309</v>
      </c>
      <c r="Q2" s="1" t="s">
        <v>1309</v>
      </c>
      <c r="R2" s="1" t="s">
        <v>1309</v>
      </c>
      <c r="S2" s="1" t="s">
        <v>1309</v>
      </c>
      <c r="T2" s="1" t="s">
        <v>1309</v>
      </c>
      <c r="U2" s="1" t="s">
        <v>1309</v>
      </c>
      <c r="V2" s="1" t="s">
        <v>1309</v>
      </c>
      <c r="W2" s="1" t="s">
        <v>1309</v>
      </c>
      <c r="X2" s="1" t="s">
        <v>1309</v>
      </c>
      <c r="Y2" s="1" t="s">
        <v>1309</v>
      </c>
      <c r="Z2" s="1" t="s">
        <v>1309</v>
      </c>
      <c r="AA2" s="1" t="s">
        <v>1309</v>
      </c>
      <c r="AB2" s="1" t="s">
        <v>1309</v>
      </c>
      <c r="AC2" s="1" t="s">
        <v>1309</v>
      </c>
      <c r="AD2" s="1" t="s">
        <v>1309</v>
      </c>
      <c r="AE2" s="1" t="s">
        <v>1309</v>
      </c>
      <c r="AF2" s="1" t="s">
        <v>1309</v>
      </c>
      <c r="AG2" s="1" t="s">
        <v>1309</v>
      </c>
      <c r="AH2" s="1" t="s">
        <v>1309</v>
      </c>
      <c r="AI2" s="1" t="s">
        <v>1309</v>
      </c>
      <c r="AJ2" s="1" t="s">
        <v>1309</v>
      </c>
      <c r="AK2" s="1" t="s">
        <v>1309</v>
      </c>
      <c r="AL2" s="1" t="s">
        <v>1309</v>
      </c>
      <c r="AM2" s="1" t="s">
        <v>1309</v>
      </c>
      <c r="AN2" s="1" t="s">
        <v>1309</v>
      </c>
      <c r="AO2" s="1" t="s">
        <v>1309</v>
      </c>
      <c r="AP2" s="1" t="s">
        <v>1309</v>
      </c>
      <c r="AQ2" s="1" t="s">
        <v>1309</v>
      </c>
      <c r="AR2" s="1" t="s">
        <v>1309</v>
      </c>
      <c r="AS2" s="1" t="s">
        <v>1309</v>
      </c>
      <c r="AT2" s="1" t="s">
        <v>1309</v>
      </c>
      <c r="AU2" s="1" t="s">
        <v>1309</v>
      </c>
      <c r="AV2" s="1" t="s">
        <v>1309</v>
      </c>
      <c r="AW2" s="1" t="s">
        <v>1309</v>
      </c>
      <c r="AX2" s="1" t="s">
        <v>1309</v>
      </c>
      <c r="AY2" s="1" t="s">
        <v>2904</v>
      </c>
      <c r="AZ2" s="1" t="s">
        <v>2904</v>
      </c>
      <c r="BA2" s="1" t="s">
        <v>1309</v>
      </c>
      <c r="BB2" s="1" t="s">
        <v>1309</v>
      </c>
      <c r="BC2" s="1" t="s">
        <v>1309</v>
      </c>
      <c r="BD2" s="1" t="s">
        <v>1309</v>
      </c>
      <c r="BE2" s="1" t="s">
        <v>1309</v>
      </c>
      <c r="BF2" s="1" t="s">
        <v>1309</v>
      </c>
      <c r="BG2" s="1" t="s">
        <v>1309</v>
      </c>
      <c r="BH2" s="1" t="s">
        <v>1309</v>
      </c>
      <c r="BI2" s="1" t="s">
        <v>1309</v>
      </c>
      <c r="BJ2" s="1" t="s">
        <v>1309</v>
      </c>
      <c r="BK2" s="1" t="s">
        <v>1309</v>
      </c>
      <c r="BL2" s="1" t="s">
        <v>1309</v>
      </c>
      <c r="BM2" s="1" t="s">
        <v>1309</v>
      </c>
      <c r="BN2" s="1" t="s">
        <v>1309</v>
      </c>
      <c r="BO2" s="1" t="s">
        <v>1309</v>
      </c>
      <c r="BP2" s="1" t="s">
        <v>1309</v>
      </c>
      <c r="BQ2" s="1" t="s">
        <v>1309</v>
      </c>
    </row>
    <row r="3" spans="1:69" ht="14" customHeight="1">
      <c r="A3" s="1" t="s">
        <v>518</v>
      </c>
      <c r="B3" s="1"/>
      <c r="C3" s="1"/>
      <c r="D3" s="1"/>
      <c r="E3" s="1"/>
      <c r="F3" s="1" t="s">
        <v>1333</v>
      </c>
      <c r="G3" s="1" t="s">
        <v>1333</v>
      </c>
      <c r="H3" s="1" t="s">
        <v>1333</v>
      </c>
      <c r="I3" s="1" t="s">
        <v>1333</v>
      </c>
      <c r="J3" s="1" t="s">
        <v>1333</v>
      </c>
      <c r="K3" s="1" t="s">
        <v>1333</v>
      </c>
      <c r="L3" s="1" t="s">
        <v>1333</v>
      </c>
      <c r="M3" s="1" t="s">
        <v>1333</v>
      </c>
      <c r="N3" s="1" t="s">
        <v>1333</v>
      </c>
      <c r="O3" s="1" t="s">
        <v>1333</v>
      </c>
      <c r="P3" s="1" t="s">
        <v>1333</v>
      </c>
      <c r="Q3" s="1" t="s">
        <v>1333</v>
      </c>
      <c r="R3" s="1" t="s">
        <v>1333</v>
      </c>
      <c r="S3" s="1" t="s">
        <v>1333</v>
      </c>
      <c r="T3" s="1" t="s">
        <v>1333</v>
      </c>
      <c r="U3" s="1" t="s">
        <v>1333</v>
      </c>
      <c r="V3" s="1" t="s">
        <v>1270</v>
      </c>
      <c r="W3" s="1" t="s">
        <v>1270</v>
      </c>
      <c r="X3" s="1" t="s">
        <v>1270</v>
      </c>
      <c r="Y3" s="1" t="s">
        <v>1270</v>
      </c>
      <c r="Z3" s="1" t="s">
        <v>1270</v>
      </c>
      <c r="AA3" s="1" t="s">
        <v>1270</v>
      </c>
      <c r="AB3" s="1" t="s">
        <v>1270</v>
      </c>
      <c r="AC3" s="1" t="s">
        <v>1270</v>
      </c>
      <c r="AD3" s="1" t="s">
        <v>1270</v>
      </c>
      <c r="AE3" s="1" t="s">
        <v>1270</v>
      </c>
      <c r="AF3" s="1" t="s">
        <v>1270</v>
      </c>
      <c r="AG3" s="1" t="s">
        <v>1270</v>
      </c>
      <c r="AH3" s="1" t="s">
        <v>1270</v>
      </c>
      <c r="AI3" s="1" t="s">
        <v>1270</v>
      </c>
      <c r="AJ3" s="1" t="s">
        <v>1270</v>
      </c>
      <c r="AK3" s="1" t="s">
        <v>1270</v>
      </c>
      <c r="AL3" s="1" t="s">
        <v>1485</v>
      </c>
      <c r="AM3" s="1" t="s">
        <v>1485</v>
      </c>
      <c r="AN3" s="1" t="s">
        <v>1485</v>
      </c>
      <c r="AO3" s="1" t="s">
        <v>1485</v>
      </c>
      <c r="AP3" s="1" t="s">
        <v>1485</v>
      </c>
      <c r="AQ3" s="1" t="s">
        <v>1485</v>
      </c>
      <c r="AR3" s="1" t="s">
        <v>1485</v>
      </c>
      <c r="AS3" s="1" t="s">
        <v>1485</v>
      </c>
      <c r="AT3" s="1" t="s">
        <v>1485</v>
      </c>
      <c r="AU3" s="1" t="s">
        <v>1485</v>
      </c>
      <c r="AV3" s="1" t="s">
        <v>1485</v>
      </c>
      <c r="AW3" s="1" t="s">
        <v>1485</v>
      </c>
      <c r="AX3" s="1" t="s">
        <v>1485</v>
      </c>
      <c r="AY3" s="1" t="s">
        <v>1485</v>
      </c>
      <c r="AZ3" s="1" t="s">
        <v>1485</v>
      </c>
      <c r="BA3" s="1" t="s">
        <v>1485</v>
      </c>
      <c r="BB3" s="1" t="s">
        <v>1486</v>
      </c>
      <c r="BC3" s="1" t="s">
        <v>1486</v>
      </c>
      <c r="BD3" s="1" t="s">
        <v>1486</v>
      </c>
      <c r="BE3" s="1" t="s">
        <v>1486</v>
      </c>
      <c r="BF3" s="1" t="s">
        <v>1486</v>
      </c>
      <c r="BG3" s="1" t="s">
        <v>1486</v>
      </c>
      <c r="BH3" s="1" t="s">
        <v>1486</v>
      </c>
      <c r="BI3" s="1" t="s">
        <v>1486</v>
      </c>
      <c r="BJ3" s="1" t="s">
        <v>1486</v>
      </c>
      <c r="BK3" s="1" t="s">
        <v>1486</v>
      </c>
      <c r="BL3" s="1" t="s">
        <v>1486</v>
      </c>
      <c r="BM3" s="1" t="s">
        <v>1486</v>
      </c>
      <c r="BN3" s="1" t="s">
        <v>1486</v>
      </c>
      <c r="BO3" s="1" t="s">
        <v>1486</v>
      </c>
      <c r="BP3" s="1" t="s">
        <v>1486</v>
      </c>
      <c r="BQ3" s="1" t="s">
        <v>1486</v>
      </c>
    </row>
    <row r="4" spans="1:69">
      <c r="A4" s="1" t="s">
        <v>736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c r="A5" s="1" t="s">
        <v>737</v>
      </c>
      <c r="B5" s="1"/>
      <c r="C5" s="1"/>
      <c r="D5" s="1"/>
      <c r="E5" s="1"/>
      <c r="F5" s="1" t="s">
        <v>248</v>
      </c>
      <c r="G5" s="1" t="s">
        <v>248</v>
      </c>
      <c r="H5" s="1" t="s">
        <v>248</v>
      </c>
      <c r="I5" s="1" t="s">
        <v>248</v>
      </c>
      <c r="J5" s="1" t="s">
        <v>248</v>
      </c>
      <c r="K5" s="1" t="s">
        <v>248</v>
      </c>
      <c r="L5" s="1" t="s">
        <v>248</v>
      </c>
      <c r="M5" s="1" t="s">
        <v>248</v>
      </c>
      <c r="N5" s="1" t="s">
        <v>248</v>
      </c>
      <c r="O5" s="1" t="s">
        <v>248</v>
      </c>
      <c r="P5" s="1" t="s">
        <v>248</v>
      </c>
      <c r="Q5" s="1" t="s">
        <v>248</v>
      </c>
      <c r="R5" s="1" t="s">
        <v>248</v>
      </c>
      <c r="S5" s="1" t="s">
        <v>1906</v>
      </c>
      <c r="T5" s="1" t="s">
        <v>2894</v>
      </c>
      <c r="U5" s="1" t="s">
        <v>2894</v>
      </c>
      <c r="V5" s="1" t="s">
        <v>248</v>
      </c>
      <c r="W5" s="1" t="s">
        <v>248</v>
      </c>
      <c r="X5" s="1" t="s">
        <v>248</v>
      </c>
      <c r="Y5" s="1" t="s">
        <v>248</v>
      </c>
      <c r="Z5" s="1" t="s">
        <v>248</v>
      </c>
      <c r="AA5" s="1" t="s">
        <v>248</v>
      </c>
      <c r="AB5" s="1" t="s">
        <v>248</v>
      </c>
      <c r="AC5" s="1" t="s">
        <v>248</v>
      </c>
      <c r="AD5" s="1" t="s">
        <v>248</v>
      </c>
      <c r="AE5" s="1" t="s">
        <v>248</v>
      </c>
      <c r="AF5" s="1" t="s">
        <v>248</v>
      </c>
      <c r="AG5" s="1" t="s">
        <v>248</v>
      </c>
      <c r="AH5" s="1" t="s">
        <v>248</v>
      </c>
      <c r="AI5" s="1" t="s">
        <v>248</v>
      </c>
      <c r="AJ5" s="1" t="s">
        <v>248</v>
      </c>
      <c r="AK5" s="1" t="s">
        <v>248</v>
      </c>
      <c r="AL5" s="1" t="s">
        <v>248</v>
      </c>
      <c r="AM5" s="1" t="s">
        <v>248</v>
      </c>
      <c r="AN5" s="1" t="s">
        <v>248</v>
      </c>
      <c r="AO5" s="1" t="s">
        <v>248</v>
      </c>
      <c r="AP5" s="1" t="s">
        <v>248</v>
      </c>
      <c r="AQ5" s="1" t="s">
        <v>248</v>
      </c>
      <c r="AR5" s="1" t="s">
        <v>248</v>
      </c>
      <c r="AS5" s="1" t="s">
        <v>248</v>
      </c>
      <c r="AT5" s="1" t="s">
        <v>248</v>
      </c>
      <c r="AU5" s="1" t="s">
        <v>248</v>
      </c>
      <c r="AV5" s="1" t="s">
        <v>248</v>
      </c>
      <c r="AW5" s="1" t="s">
        <v>248</v>
      </c>
      <c r="AX5" s="1" t="s">
        <v>248</v>
      </c>
      <c r="AY5" s="1" t="s">
        <v>248</v>
      </c>
      <c r="AZ5" s="1" t="s">
        <v>248</v>
      </c>
      <c r="BA5" s="1" t="s">
        <v>248</v>
      </c>
      <c r="BB5" s="1" t="s">
        <v>248</v>
      </c>
      <c r="BC5" s="1" t="s">
        <v>248</v>
      </c>
      <c r="BD5" s="1" t="s">
        <v>248</v>
      </c>
      <c r="BE5" s="1" t="s">
        <v>248</v>
      </c>
      <c r="BF5" s="1" t="s">
        <v>248</v>
      </c>
      <c r="BG5" s="1" t="s">
        <v>248</v>
      </c>
      <c r="BH5" s="1" t="s">
        <v>248</v>
      </c>
      <c r="BI5" s="1" t="s">
        <v>248</v>
      </c>
      <c r="BJ5" s="1" t="s">
        <v>248</v>
      </c>
      <c r="BK5" s="1" t="s">
        <v>248</v>
      </c>
      <c r="BL5" s="1" t="s">
        <v>248</v>
      </c>
      <c r="BM5" s="1" t="s">
        <v>248</v>
      </c>
      <c r="BN5" s="1" t="s">
        <v>248</v>
      </c>
      <c r="BO5" s="1" t="s">
        <v>2894</v>
      </c>
      <c r="BP5" s="1" t="s">
        <v>2894</v>
      </c>
      <c r="BQ5" s="1" t="s">
        <v>2894</v>
      </c>
    </row>
    <row r="6" spans="1:69">
      <c r="A6" s="42" t="s">
        <v>560</v>
      </c>
      <c r="B6" s="42"/>
      <c r="C6" s="42"/>
      <c r="D6" s="42"/>
      <c r="E6" s="42"/>
      <c r="F6" s="42">
        <v>1983</v>
      </c>
      <c r="G6" s="42" t="s">
        <v>256</v>
      </c>
      <c r="H6" s="42" t="s">
        <v>257</v>
      </c>
      <c r="I6" s="42" t="s">
        <v>251</v>
      </c>
      <c r="J6" s="42" t="s">
        <v>252</v>
      </c>
      <c r="K6" s="42" t="s">
        <v>258</v>
      </c>
      <c r="L6" s="42" t="s">
        <v>302</v>
      </c>
      <c r="M6" s="42" t="s">
        <v>259</v>
      </c>
      <c r="N6" s="42" t="s">
        <v>260</v>
      </c>
      <c r="O6" s="42" t="s">
        <v>261</v>
      </c>
      <c r="P6" s="42" t="s">
        <v>262</v>
      </c>
      <c r="Q6" s="42" t="s">
        <v>194</v>
      </c>
      <c r="R6" s="42" t="s">
        <v>195</v>
      </c>
      <c r="S6" s="42" t="s">
        <v>1907</v>
      </c>
      <c r="T6" s="42" t="s">
        <v>1812</v>
      </c>
      <c r="U6" s="42" t="s">
        <v>1927</v>
      </c>
      <c r="V6" s="42">
        <v>1983</v>
      </c>
      <c r="W6" s="42" t="s">
        <v>256</v>
      </c>
      <c r="X6" s="42" t="s">
        <v>257</v>
      </c>
      <c r="Y6" s="42" t="s">
        <v>251</v>
      </c>
      <c r="Z6" s="42" t="s">
        <v>252</v>
      </c>
      <c r="AA6" s="42" t="s">
        <v>258</v>
      </c>
      <c r="AB6" s="42" t="s">
        <v>302</v>
      </c>
      <c r="AC6" s="42" t="s">
        <v>259</v>
      </c>
      <c r="AD6" s="42" t="s">
        <v>260</v>
      </c>
      <c r="AE6" s="42" t="s">
        <v>261</v>
      </c>
      <c r="AF6" s="42" t="s">
        <v>262</v>
      </c>
      <c r="AG6" s="42" t="s">
        <v>194</v>
      </c>
      <c r="AH6" s="42" t="s">
        <v>195</v>
      </c>
      <c r="AI6" s="42" t="s">
        <v>1907</v>
      </c>
      <c r="AJ6" s="42" t="s">
        <v>1812</v>
      </c>
      <c r="AK6" s="42" t="s">
        <v>1927</v>
      </c>
      <c r="AL6" s="42">
        <v>1983</v>
      </c>
      <c r="AM6" s="42" t="s">
        <v>256</v>
      </c>
      <c r="AN6" s="42" t="s">
        <v>257</v>
      </c>
      <c r="AO6" s="42" t="s">
        <v>251</v>
      </c>
      <c r="AP6" s="42" t="s">
        <v>252</v>
      </c>
      <c r="AQ6" s="42" t="s">
        <v>258</v>
      </c>
      <c r="AR6" s="42" t="s">
        <v>302</v>
      </c>
      <c r="AS6" s="42" t="s">
        <v>259</v>
      </c>
      <c r="AT6" s="42" t="s">
        <v>260</v>
      </c>
      <c r="AU6" s="42" t="s">
        <v>261</v>
      </c>
      <c r="AV6" s="42" t="s">
        <v>262</v>
      </c>
      <c r="AW6" s="42" t="s">
        <v>194</v>
      </c>
      <c r="AX6" s="42" t="s">
        <v>195</v>
      </c>
      <c r="AY6" s="42" t="s">
        <v>1907</v>
      </c>
      <c r="AZ6" s="42" t="s">
        <v>1812</v>
      </c>
      <c r="BA6" s="42" t="s">
        <v>1927</v>
      </c>
      <c r="BB6" s="42">
        <v>1983</v>
      </c>
      <c r="BC6" s="42" t="s">
        <v>256</v>
      </c>
      <c r="BD6" s="42" t="s">
        <v>257</v>
      </c>
      <c r="BE6" s="42" t="s">
        <v>251</v>
      </c>
      <c r="BF6" s="42" t="s">
        <v>252</v>
      </c>
      <c r="BG6" s="42" t="s">
        <v>258</v>
      </c>
      <c r="BH6" s="42" t="s">
        <v>302</v>
      </c>
      <c r="BI6" s="42" t="s">
        <v>259</v>
      </c>
      <c r="BJ6" s="42" t="s">
        <v>260</v>
      </c>
      <c r="BK6" s="42" t="s">
        <v>261</v>
      </c>
      <c r="BL6" s="42" t="s">
        <v>262</v>
      </c>
      <c r="BM6" s="42" t="s">
        <v>194</v>
      </c>
      <c r="BN6" s="42" t="s">
        <v>195</v>
      </c>
      <c r="BO6" s="42" t="s">
        <v>1907</v>
      </c>
      <c r="BP6" s="42" t="s">
        <v>1812</v>
      </c>
      <c r="BQ6" s="42" t="s">
        <v>1927</v>
      </c>
    </row>
    <row r="7" spans="1:69" ht="88">
      <c r="A7" s="7" t="s">
        <v>3649</v>
      </c>
      <c r="B7" s="1"/>
      <c r="C7" s="1"/>
      <c r="D7" s="1"/>
      <c r="E7" s="1"/>
      <c r="F7" s="1" t="s">
        <v>2564</v>
      </c>
      <c r="G7" s="1" t="s">
        <v>1366</v>
      </c>
      <c r="H7" s="1" t="s">
        <v>1426</v>
      </c>
      <c r="I7" s="1" t="s">
        <v>1367</v>
      </c>
      <c r="J7" s="1" t="s">
        <v>1368</v>
      </c>
      <c r="K7" s="1" t="s">
        <v>1369</v>
      </c>
      <c r="L7" s="1" t="s">
        <v>1513</v>
      </c>
      <c r="M7" s="1" t="s">
        <v>1517</v>
      </c>
      <c r="N7" s="1" t="s">
        <v>1381</v>
      </c>
      <c r="O7" s="1" t="s">
        <v>1536</v>
      </c>
      <c r="P7" s="1" t="s">
        <v>1523</v>
      </c>
      <c r="Q7" s="1" t="s">
        <v>1524</v>
      </c>
      <c r="R7" s="1" t="s">
        <v>1458</v>
      </c>
      <c r="S7" s="1" t="s">
        <v>1912</v>
      </c>
      <c r="T7" s="1" t="s">
        <v>1913</v>
      </c>
      <c r="U7" s="1" t="s">
        <v>2896</v>
      </c>
      <c r="V7" s="1" t="s">
        <v>1353</v>
      </c>
      <c r="W7" s="1" t="s">
        <v>1462</v>
      </c>
      <c r="X7" s="1" t="s">
        <v>1463</v>
      </c>
      <c r="Y7" s="1" t="s">
        <v>1354</v>
      </c>
      <c r="Z7" s="1" t="s">
        <v>1355</v>
      </c>
      <c r="AA7" s="1" t="s">
        <v>1290</v>
      </c>
      <c r="AB7" s="1" t="s">
        <v>1356</v>
      </c>
      <c r="AC7" s="1" t="s">
        <v>1357</v>
      </c>
      <c r="AD7" s="1" t="s">
        <v>1384</v>
      </c>
      <c r="AE7" s="1" t="s">
        <v>1358</v>
      </c>
      <c r="AF7" s="1" t="s">
        <v>1427</v>
      </c>
      <c r="AG7" s="1" t="s">
        <v>1505</v>
      </c>
      <c r="AH7" s="1" t="s">
        <v>1429</v>
      </c>
      <c r="AI7" s="1" t="s">
        <v>1429</v>
      </c>
      <c r="AJ7" s="1" t="s">
        <v>1429</v>
      </c>
      <c r="AK7" s="1" t="s">
        <v>1429</v>
      </c>
      <c r="AL7" s="1" t="s">
        <v>1365</v>
      </c>
      <c r="AM7" s="1" t="s">
        <v>1310</v>
      </c>
      <c r="AN7" s="1" t="s">
        <v>1419</v>
      </c>
      <c r="AO7" s="1" t="s">
        <v>1312</v>
      </c>
      <c r="AP7" s="1" t="s">
        <v>1313</v>
      </c>
      <c r="AQ7" s="1" t="s">
        <v>1423</v>
      </c>
      <c r="AR7" s="1" t="s">
        <v>1491</v>
      </c>
      <c r="AS7" s="1" t="s">
        <v>1424</v>
      </c>
      <c r="AT7" s="1" t="s">
        <v>1314</v>
      </c>
      <c r="AU7" s="1" t="s">
        <v>1371</v>
      </c>
      <c r="AV7" s="1" t="s">
        <v>1372</v>
      </c>
      <c r="AW7" s="1" t="s">
        <v>1370</v>
      </c>
      <c r="AX7" s="1" t="s">
        <v>1289</v>
      </c>
      <c r="AY7" s="1" t="s">
        <v>2898</v>
      </c>
      <c r="AZ7" s="1" t="s">
        <v>2898</v>
      </c>
      <c r="BA7" s="1" t="s">
        <v>2899</v>
      </c>
      <c r="BB7" s="1" t="s">
        <v>1516</v>
      </c>
      <c r="BC7" s="1" t="s">
        <v>1351</v>
      </c>
      <c r="BD7" s="1" t="s">
        <v>1352</v>
      </c>
      <c r="BE7" s="1" t="s">
        <v>1514</v>
      </c>
      <c r="BF7" s="1" t="s">
        <v>1515</v>
      </c>
      <c r="BG7" s="1" t="s">
        <v>1461</v>
      </c>
      <c r="BH7" s="1" t="s">
        <v>1437</v>
      </c>
      <c r="BI7" s="1" t="s">
        <v>1379</v>
      </c>
      <c r="BJ7" s="1" t="s">
        <v>1439</v>
      </c>
      <c r="BK7" s="1" t="s">
        <v>1382</v>
      </c>
      <c r="BL7" s="1" t="s">
        <v>1592</v>
      </c>
      <c r="BM7" s="1" t="s">
        <v>1389</v>
      </c>
      <c r="BN7" s="1" t="s">
        <v>1344</v>
      </c>
      <c r="BO7" s="1" t="s">
        <v>2911</v>
      </c>
      <c r="BP7" s="1" t="s">
        <v>2915</v>
      </c>
      <c r="BQ7" s="1" t="s">
        <v>2916</v>
      </c>
    </row>
    <row r="8" spans="1:69">
      <c r="A8" s="9" t="s">
        <v>572</v>
      </c>
      <c r="B8" s="9" t="s">
        <v>770</v>
      </c>
      <c r="C8" s="9" t="s">
        <v>771</v>
      </c>
      <c r="D8" s="9" t="s">
        <v>772</v>
      </c>
      <c r="E8" s="9" t="s">
        <v>3639</v>
      </c>
      <c r="F8" s="9" t="s">
        <v>1496</v>
      </c>
      <c r="G8" s="9" t="s">
        <v>1497</v>
      </c>
      <c r="H8" s="9" t="s">
        <v>1498</v>
      </c>
      <c r="I8" s="9" t="s">
        <v>1459</v>
      </c>
      <c r="J8" s="9" t="s">
        <v>1438</v>
      </c>
      <c r="K8" s="9" t="s">
        <v>1450</v>
      </c>
      <c r="L8" s="9" t="s">
        <v>1451</v>
      </c>
      <c r="M8" s="9" t="s">
        <v>1452</v>
      </c>
      <c r="N8" s="9" t="s">
        <v>1453</v>
      </c>
      <c r="O8" s="9" t="s">
        <v>1454</v>
      </c>
      <c r="P8" s="9" t="s">
        <v>1455</v>
      </c>
      <c r="Q8" s="9" t="s">
        <v>1456</v>
      </c>
      <c r="R8" s="9" t="s">
        <v>1457</v>
      </c>
      <c r="S8" s="9" t="s">
        <v>1914</v>
      </c>
      <c r="T8" s="9" t="s">
        <v>1915</v>
      </c>
      <c r="U8" s="9" t="s">
        <v>2897</v>
      </c>
      <c r="V8" s="9" t="s">
        <v>1386</v>
      </c>
      <c r="W8" s="9" t="s">
        <v>1387</v>
      </c>
      <c r="X8" s="9" t="s">
        <v>1388</v>
      </c>
      <c r="Y8" s="9" t="s">
        <v>1537</v>
      </c>
      <c r="Z8" s="9" t="s">
        <v>1538</v>
      </c>
      <c r="AA8" s="9" t="s">
        <v>1539</v>
      </c>
      <c r="AB8" s="9" t="s">
        <v>1540</v>
      </c>
      <c r="AC8" s="9" t="s">
        <v>1499</v>
      </c>
      <c r="AD8" s="9" t="s">
        <v>1345</v>
      </c>
      <c r="AE8" s="9" t="s">
        <v>1346</v>
      </c>
      <c r="AF8" s="9" t="s">
        <v>1347</v>
      </c>
      <c r="AG8" s="9" t="s">
        <v>1348</v>
      </c>
      <c r="AH8" s="9" t="s">
        <v>1392</v>
      </c>
      <c r="AI8" s="9" t="s">
        <v>2908</v>
      </c>
      <c r="AJ8" s="9" t="s">
        <v>2909</v>
      </c>
      <c r="AK8" s="9" t="s">
        <v>2910</v>
      </c>
      <c r="AL8" s="9" t="s">
        <v>1393</v>
      </c>
      <c r="AM8" s="9" t="s">
        <v>1394</v>
      </c>
      <c r="AN8" s="9" t="s">
        <v>1395</v>
      </c>
      <c r="AO8" s="9" t="s">
        <v>1396</v>
      </c>
      <c r="AP8" s="9" t="s">
        <v>1397</v>
      </c>
      <c r="AQ8" s="9" t="s">
        <v>1398</v>
      </c>
      <c r="AR8" s="9" t="s">
        <v>1399</v>
      </c>
      <c r="AS8" s="9" t="s">
        <v>1400</v>
      </c>
      <c r="AT8" s="9" t="s">
        <v>1401</v>
      </c>
      <c r="AU8" s="9" t="s">
        <v>1402</v>
      </c>
      <c r="AV8" s="9" t="s">
        <v>1403</v>
      </c>
      <c r="AW8" s="9" t="s">
        <v>1404</v>
      </c>
      <c r="AX8" s="9" t="s">
        <v>1405</v>
      </c>
      <c r="AY8" s="9" t="s">
        <v>2900</v>
      </c>
      <c r="AZ8" s="9" t="s">
        <v>2901</v>
      </c>
      <c r="BA8" s="9" t="s">
        <v>2902</v>
      </c>
      <c r="BB8" s="9" t="s">
        <v>1406</v>
      </c>
      <c r="BC8" s="9" t="s">
        <v>1407</v>
      </c>
      <c r="BD8" s="9" t="s">
        <v>1408</v>
      </c>
      <c r="BE8" s="9" t="s">
        <v>1409</v>
      </c>
      <c r="BF8" s="9" t="s">
        <v>1410</v>
      </c>
      <c r="BG8" s="9" t="s">
        <v>1411</v>
      </c>
      <c r="BH8" s="9" t="s">
        <v>1412</v>
      </c>
      <c r="BI8" s="9" t="s">
        <v>1413</v>
      </c>
      <c r="BJ8" s="9" t="s">
        <v>1414</v>
      </c>
      <c r="BK8" s="9" t="s">
        <v>1415</v>
      </c>
      <c r="BL8" s="9" t="s">
        <v>1416</v>
      </c>
      <c r="BM8" s="9" t="s">
        <v>1472</v>
      </c>
      <c r="BN8" s="9" t="s">
        <v>1473</v>
      </c>
      <c r="BO8" s="9" t="s">
        <v>2912</v>
      </c>
      <c r="BP8" s="9" t="s">
        <v>2913</v>
      </c>
      <c r="BQ8" s="9" t="s">
        <v>2914</v>
      </c>
    </row>
    <row r="9" spans="1:69" s="90" customFormat="1">
      <c r="A9" s="3" t="s">
        <v>850</v>
      </c>
      <c r="B9" s="3" t="s">
        <v>851</v>
      </c>
      <c r="C9" s="3">
        <v>1</v>
      </c>
      <c r="D9" s="3" t="s">
        <v>759</v>
      </c>
      <c r="E9" s="96">
        <v>0</v>
      </c>
      <c r="F9" s="250">
        <v>49.99</v>
      </c>
      <c r="G9" s="250">
        <v>39.9</v>
      </c>
      <c r="H9" s="250">
        <v>43.6</v>
      </c>
      <c r="I9" s="250">
        <v>51.72</v>
      </c>
      <c r="J9" s="250">
        <v>46.24</v>
      </c>
      <c r="K9" s="250">
        <v>49.37</v>
      </c>
      <c r="L9" s="250">
        <v>52.11</v>
      </c>
      <c r="M9" s="250">
        <v>47.53</v>
      </c>
      <c r="N9" s="250">
        <v>44.05</v>
      </c>
      <c r="O9" s="250">
        <v>38.590000000000003</v>
      </c>
      <c r="P9" s="250">
        <v>37.72</v>
      </c>
      <c r="Q9" s="250">
        <v>42.54</v>
      </c>
      <c r="R9" s="250">
        <v>47.93</v>
      </c>
      <c r="S9" s="27">
        <v>32.415009363907032</v>
      </c>
      <c r="T9" s="250">
        <v>49.95</v>
      </c>
      <c r="U9" s="251">
        <v>35.209762712797222</v>
      </c>
      <c r="V9" s="250">
        <v>1.2923991726990693</v>
      </c>
      <c r="W9" s="250">
        <v>1.4977477477477477</v>
      </c>
      <c r="X9" s="250">
        <v>1.1026808295397066</v>
      </c>
      <c r="Y9" s="250">
        <v>1.9284116331096197</v>
      </c>
      <c r="Z9" s="250">
        <v>1.9044481054365734</v>
      </c>
      <c r="AA9" s="250">
        <v>1.9708582834331336</v>
      </c>
      <c r="AB9" s="250">
        <v>2.4316378908072793</v>
      </c>
      <c r="AC9" s="250">
        <v>1.1144196951934351</v>
      </c>
      <c r="AD9" s="250">
        <v>1.2349313148303895</v>
      </c>
      <c r="AE9" s="250">
        <v>2.9914728682170546</v>
      </c>
      <c r="AF9" s="250">
        <v>2.9399844115354639</v>
      </c>
      <c r="AG9" s="250">
        <v>2.9810791871058164</v>
      </c>
      <c r="AH9" s="250">
        <v>2.6176952484980887</v>
      </c>
      <c r="AI9" s="27">
        <v>1.1278643990810862</v>
      </c>
      <c r="AJ9" s="27">
        <v>3.2711198428290769</v>
      </c>
      <c r="AK9" s="27">
        <v>1.0161356468932041</v>
      </c>
      <c r="AL9" s="250">
        <v>58.695652173913047</v>
      </c>
      <c r="AM9" s="250">
        <v>50</v>
      </c>
      <c r="AN9" s="250">
        <v>45.652173913043477</v>
      </c>
      <c r="AO9" s="250">
        <v>54.347826086956516</v>
      </c>
      <c r="AP9" s="250">
        <v>47.826086956521742</v>
      </c>
      <c r="AQ9" s="250">
        <v>56.521739130434781</v>
      </c>
      <c r="AR9" s="250">
        <v>52.173913043478258</v>
      </c>
      <c r="AS9" s="250">
        <v>56.521739130434781</v>
      </c>
      <c r="AT9" s="250">
        <v>52.173913043478258</v>
      </c>
      <c r="AU9" s="250">
        <v>58.695652173913047</v>
      </c>
      <c r="AV9" s="250">
        <v>60.869565217391312</v>
      </c>
      <c r="AW9" s="250">
        <v>56.521739130434781</v>
      </c>
      <c r="AX9" s="250">
        <v>56.521739130434781</v>
      </c>
      <c r="AY9" s="27">
        <v>34.782608695652172</v>
      </c>
      <c r="AZ9" s="27">
        <v>56.521739130434781</v>
      </c>
      <c r="BA9" s="27">
        <v>39.130434782608695</v>
      </c>
      <c r="BB9" s="250">
        <v>1.4594594594594594</v>
      </c>
      <c r="BC9" s="250">
        <v>1.6428571428571428</v>
      </c>
      <c r="BD9" s="250">
        <v>1.0909090909090908</v>
      </c>
      <c r="BE9" s="250">
        <v>1.5625</v>
      </c>
      <c r="BF9" s="250">
        <v>1.375</v>
      </c>
      <c r="BG9" s="250">
        <v>1.7333333333333334</v>
      </c>
      <c r="BH9" s="250">
        <v>1.7142857142857142</v>
      </c>
      <c r="BI9" s="250">
        <v>1.3</v>
      </c>
      <c r="BJ9" s="250">
        <v>1.2</v>
      </c>
      <c r="BK9" s="250">
        <v>3</v>
      </c>
      <c r="BL9" s="250">
        <v>2.5454545454545454</v>
      </c>
      <c r="BM9" s="250">
        <v>4.333333333333333</v>
      </c>
      <c r="BN9" s="250">
        <v>2.3636363636363638</v>
      </c>
      <c r="BO9" s="27">
        <v>1.0666666666666667</v>
      </c>
      <c r="BP9" s="27">
        <v>2.3636363636363638</v>
      </c>
      <c r="BQ9" s="27">
        <v>1.125</v>
      </c>
    </row>
    <row r="10" spans="1:69" s="90" customFormat="1">
      <c r="A10" s="3" t="s">
        <v>667</v>
      </c>
      <c r="B10" s="3" t="s">
        <v>668</v>
      </c>
      <c r="C10" s="3">
        <v>2</v>
      </c>
      <c r="D10" s="3" t="s">
        <v>759</v>
      </c>
      <c r="E10" s="96">
        <v>0</v>
      </c>
      <c r="F10" s="250">
        <v>54.33</v>
      </c>
      <c r="G10" s="250">
        <v>41.77</v>
      </c>
      <c r="H10" s="250">
        <v>38.450000000000003</v>
      </c>
      <c r="I10" s="250">
        <v>32.14</v>
      </c>
      <c r="J10" s="250">
        <v>36.58</v>
      </c>
      <c r="K10" s="250">
        <v>29.77</v>
      </c>
      <c r="L10" s="250">
        <v>34.99</v>
      </c>
      <c r="M10" s="250">
        <v>56.03</v>
      </c>
      <c r="N10" s="250">
        <v>36.659999999999997</v>
      </c>
      <c r="O10" s="250">
        <v>19.489999999999998</v>
      </c>
      <c r="P10" s="250">
        <v>13.84</v>
      </c>
      <c r="Q10" s="250">
        <v>33.21</v>
      </c>
      <c r="R10" s="250">
        <v>44.32</v>
      </c>
      <c r="S10" s="27">
        <v>31.3</v>
      </c>
      <c r="T10" s="250">
        <v>44.95</v>
      </c>
      <c r="U10" s="251">
        <v>33.58</v>
      </c>
      <c r="V10" s="250">
        <v>2.3632013919095258</v>
      </c>
      <c r="W10" s="250">
        <v>1.6904087414002429</v>
      </c>
      <c r="X10" s="250">
        <v>1.5994176372712148</v>
      </c>
      <c r="Y10" s="250">
        <v>1.0414776409591704</v>
      </c>
      <c r="Z10" s="250">
        <v>1.3292151162790697</v>
      </c>
      <c r="AA10" s="250">
        <v>1.0778421433743663</v>
      </c>
      <c r="AB10" s="250">
        <v>1.5199826238053868</v>
      </c>
      <c r="AC10" s="250">
        <v>3.257558139534884</v>
      </c>
      <c r="AD10" s="250">
        <v>1.1894873458792989</v>
      </c>
      <c r="AE10" s="250">
        <v>1.6054365733113671</v>
      </c>
      <c r="AF10" s="250">
        <v>1.1036682615629985</v>
      </c>
      <c r="AG10" s="250">
        <v>1.5989407799711122</v>
      </c>
      <c r="AH10" s="250">
        <v>3.0692520775623269</v>
      </c>
      <c r="AI10" s="27">
        <v>1.3206751054852321</v>
      </c>
      <c r="AJ10" s="27">
        <v>3.2061340941512126</v>
      </c>
      <c r="AK10" s="27">
        <v>1.3655957706384709</v>
      </c>
      <c r="AL10" s="250">
        <v>63.333333333333329</v>
      </c>
      <c r="AM10" s="250">
        <v>50</v>
      </c>
      <c r="AN10" s="250">
        <v>46.666666666666664</v>
      </c>
      <c r="AO10" s="250">
        <v>36.666666666666664</v>
      </c>
      <c r="AP10" s="250">
        <v>46.666666666666664</v>
      </c>
      <c r="AQ10" s="250">
        <v>33.333333333333329</v>
      </c>
      <c r="AR10" s="250"/>
      <c r="AS10" s="250">
        <v>61.666666666666671</v>
      </c>
      <c r="AT10" s="250">
        <v>40</v>
      </c>
      <c r="AU10" s="250"/>
      <c r="AV10" s="250">
        <v>15</v>
      </c>
      <c r="AW10" s="250">
        <v>43.333333333333336</v>
      </c>
      <c r="AX10" s="250">
        <v>50</v>
      </c>
      <c r="AY10" s="27">
        <v>36.666666666666664</v>
      </c>
      <c r="AZ10" s="27">
        <v>53.333333333333336</v>
      </c>
      <c r="BA10" s="27">
        <v>40</v>
      </c>
      <c r="BB10" s="250">
        <v>2.375</v>
      </c>
      <c r="BC10" s="250">
        <v>1.875</v>
      </c>
      <c r="BD10" s="250">
        <v>1.75</v>
      </c>
      <c r="BE10" s="250">
        <v>1.1000000000000001</v>
      </c>
      <c r="BF10" s="250">
        <v>1.4</v>
      </c>
      <c r="BG10" s="250">
        <v>1</v>
      </c>
      <c r="BH10" s="250"/>
      <c r="BI10" s="250">
        <v>3.3636363636363638</v>
      </c>
      <c r="BJ10" s="250">
        <v>1.2</v>
      </c>
      <c r="BK10" s="250"/>
      <c r="BL10" s="250">
        <v>1.125</v>
      </c>
      <c r="BM10" s="250">
        <v>1.625</v>
      </c>
      <c r="BN10" s="250">
        <v>3</v>
      </c>
      <c r="BO10" s="27">
        <v>1.375</v>
      </c>
      <c r="BP10" s="27">
        <v>3.2</v>
      </c>
      <c r="BQ10" s="27">
        <v>1.5</v>
      </c>
    </row>
    <row r="11" spans="1:69" s="90" customFormat="1">
      <c r="A11" s="3" t="s">
        <v>669</v>
      </c>
      <c r="B11" s="3" t="s">
        <v>663</v>
      </c>
      <c r="C11" s="3">
        <v>3</v>
      </c>
      <c r="D11" s="3" t="s">
        <v>664</v>
      </c>
      <c r="E11" s="96">
        <v>0</v>
      </c>
      <c r="F11" s="250">
        <v>40.56</v>
      </c>
      <c r="G11" s="250">
        <v>50.84</v>
      </c>
      <c r="H11" s="250">
        <v>53.98</v>
      </c>
      <c r="I11" s="250">
        <v>52.8</v>
      </c>
      <c r="J11" s="250">
        <v>47.58</v>
      </c>
      <c r="K11" s="250">
        <v>46.79</v>
      </c>
      <c r="L11" s="250">
        <v>50.88</v>
      </c>
      <c r="M11" s="250">
        <v>54.74</v>
      </c>
      <c r="N11" s="250">
        <v>52.86</v>
      </c>
      <c r="O11" s="250"/>
      <c r="P11" s="250">
        <v>50.03</v>
      </c>
      <c r="Q11" s="250">
        <v>39.07</v>
      </c>
      <c r="R11" s="250">
        <v>53.31</v>
      </c>
      <c r="S11" s="27">
        <v>44.8</v>
      </c>
      <c r="T11" s="250">
        <v>47.35</v>
      </c>
      <c r="U11" s="251">
        <v>37.53</v>
      </c>
      <c r="V11" s="250">
        <v>1.0767188744358906</v>
      </c>
      <c r="W11" s="250">
        <v>1.1612608497030608</v>
      </c>
      <c r="X11" s="250">
        <v>1.3165853658536584</v>
      </c>
      <c r="Y11" s="250">
        <v>1.5951661631419938</v>
      </c>
      <c r="Z11" s="250">
        <v>1.2752613240418118</v>
      </c>
      <c r="AA11" s="250">
        <v>1.1884683769367539</v>
      </c>
      <c r="AB11" s="250">
        <v>1.1648351648351649</v>
      </c>
      <c r="AC11" s="250">
        <v>1.5644469848528151</v>
      </c>
      <c r="AD11" s="250">
        <v>1.1956570911558471</v>
      </c>
      <c r="AE11" s="250"/>
      <c r="AF11" s="250">
        <v>1.2653009610520991</v>
      </c>
      <c r="AG11" s="250">
        <v>1.3998566821927625</v>
      </c>
      <c r="AH11" s="250">
        <v>1.4779595231494318</v>
      </c>
      <c r="AI11" s="27">
        <v>1.2940496822645871</v>
      </c>
      <c r="AJ11" s="27">
        <v>1.0464088397790055</v>
      </c>
      <c r="AK11" s="27">
        <v>1.0240109140518419</v>
      </c>
      <c r="AL11" s="250">
        <v>60.606060606060609</v>
      </c>
      <c r="AM11" s="250">
        <v>58.82352941176471</v>
      </c>
      <c r="AN11" s="250">
        <v>61.111111111111114</v>
      </c>
      <c r="AO11" s="250">
        <v>65.217391304347828</v>
      </c>
      <c r="AP11" s="250">
        <v>50</v>
      </c>
      <c r="AQ11" s="250">
        <v>47.619047619047613</v>
      </c>
      <c r="AR11" s="250">
        <v>50</v>
      </c>
      <c r="AS11" s="250">
        <v>57.142857142857139</v>
      </c>
      <c r="AT11" s="250">
        <v>55.000000000000007</v>
      </c>
      <c r="AU11" s="250">
        <v>52.380952380952387</v>
      </c>
      <c r="AV11" s="250">
        <v>55.000000000000007</v>
      </c>
      <c r="AW11" s="250">
        <v>52.380952380952387</v>
      </c>
      <c r="AX11" s="250">
        <v>55.000000000000007</v>
      </c>
      <c r="AY11" s="27">
        <v>57.142857142857139</v>
      </c>
      <c r="AZ11" s="27">
        <v>50</v>
      </c>
      <c r="BA11" s="27">
        <v>42.857142857142854</v>
      </c>
      <c r="BB11" s="250">
        <v>1.5384615384615385</v>
      </c>
      <c r="BC11" s="250">
        <v>1.4285714285714286</v>
      </c>
      <c r="BD11" s="250">
        <v>1.5714285714285714</v>
      </c>
      <c r="BE11" s="250">
        <v>3</v>
      </c>
      <c r="BF11" s="250">
        <v>1.2857142857142858</v>
      </c>
      <c r="BG11" s="250">
        <v>1.1111111111111112</v>
      </c>
      <c r="BH11" s="250">
        <v>1</v>
      </c>
      <c r="BI11" s="250">
        <v>1.5</v>
      </c>
      <c r="BJ11" s="250">
        <v>1.2222222222222223</v>
      </c>
      <c r="BK11" s="250">
        <v>1.375</v>
      </c>
      <c r="BL11" s="250">
        <v>1.2222222222222223</v>
      </c>
      <c r="BM11" s="250">
        <v>1.375</v>
      </c>
      <c r="BN11" s="250">
        <v>1.375</v>
      </c>
      <c r="BO11" s="27">
        <v>1.3333333333333333</v>
      </c>
      <c r="BP11" s="27">
        <v>1</v>
      </c>
      <c r="BQ11" s="27">
        <v>1.125</v>
      </c>
    </row>
    <row r="12" spans="1:69" s="90" customFormat="1">
      <c r="A12" s="3" t="s">
        <v>665</v>
      </c>
      <c r="B12" s="3" t="s">
        <v>640</v>
      </c>
      <c r="C12" s="3">
        <v>4</v>
      </c>
      <c r="D12" s="3" t="s">
        <v>641</v>
      </c>
      <c r="E12" s="96">
        <v>0</v>
      </c>
      <c r="F12" s="250">
        <v>47.02</v>
      </c>
      <c r="G12" s="250">
        <v>47.86</v>
      </c>
      <c r="H12" s="250">
        <v>49.96</v>
      </c>
      <c r="I12" s="250">
        <v>49.08</v>
      </c>
      <c r="J12" s="250">
        <v>38.39</v>
      </c>
      <c r="K12" s="250">
        <v>36.97</v>
      </c>
      <c r="L12" s="250">
        <v>41.03</v>
      </c>
      <c r="M12" s="250">
        <v>57.95</v>
      </c>
      <c r="N12" s="250">
        <v>61.99</v>
      </c>
      <c r="O12" s="250">
        <v>53.07</v>
      </c>
      <c r="P12" s="250">
        <v>41.64</v>
      </c>
      <c r="Q12" s="250">
        <v>55.35</v>
      </c>
      <c r="R12" s="250">
        <v>46.1</v>
      </c>
      <c r="S12" s="27">
        <v>50.58</v>
      </c>
      <c r="T12" s="250">
        <v>62.83</v>
      </c>
      <c r="U12" s="251">
        <v>54.67</v>
      </c>
      <c r="V12" s="250">
        <v>1.0318191792846172</v>
      </c>
      <c r="W12" s="250">
        <v>1.0786567500563444</v>
      </c>
      <c r="X12" s="250">
        <v>1.0889276373147341</v>
      </c>
      <c r="Y12" s="250">
        <v>1.4275741710296683</v>
      </c>
      <c r="Z12" s="250">
        <v>1.0555402804509211</v>
      </c>
      <c r="AA12" s="250">
        <v>1.1662460567823343</v>
      </c>
      <c r="AB12" s="250">
        <v>1.2959570435881238</v>
      </c>
      <c r="AC12" s="250">
        <v>1.8188951663527937</v>
      </c>
      <c r="AD12" s="250">
        <v>1.9450894257922811</v>
      </c>
      <c r="AE12" s="250">
        <v>1.4440816326530612</v>
      </c>
      <c r="AF12" s="250">
        <v>1.0241023118544024</v>
      </c>
      <c r="AG12" s="250">
        <v>1.8237232289950576</v>
      </c>
      <c r="AH12" s="250">
        <v>1.3651169677228308</v>
      </c>
      <c r="AI12" s="27">
        <v>1.1456398640996603</v>
      </c>
      <c r="AJ12" s="27">
        <v>1.9683583959899749</v>
      </c>
      <c r="AK12" s="27">
        <v>1.6203319502074689</v>
      </c>
      <c r="AL12" s="250">
        <v>50</v>
      </c>
      <c r="AM12" s="250">
        <v>50</v>
      </c>
      <c r="AN12" s="250">
        <v>50</v>
      </c>
      <c r="AO12" s="250">
        <v>50</v>
      </c>
      <c r="AP12" s="250">
        <v>43.75</v>
      </c>
      <c r="AQ12" s="250">
        <v>37.5</v>
      </c>
      <c r="AR12" s="250">
        <v>50</v>
      </c>
      <c r="AS12" s="250">
        <v>62.5</v>
      </c>
      <c r="AT12" s="250">
        <v>68.75</v>
      </c>
      <c r="AU12" s="250">
        <v>62.5</v>
      </c>
      <c r="AV12" s="250">
        <v>50</v>
      </c>
      <c r="AW12" s="250">
        <v>62.5</v>
      </c>
      <c r="AX12" s="250">
        <v>56.25</v>
      </c>
      <c r="AY12" s="27">
        <v>56.25</v>
      </c>
      <c r="AZ12" s="27">
        <v>68.75</v>
      </c>
      <c r="BA12" s="27">
        <v>62.5</v>
      </c>
      <c r="BB12" s="250">
        <v>1</v>
      </c>
      <c r="BC12" s="250">
        <v>1</v>
      </c>
      <c r="BD12" s="250">
        <v>1</v>
      </c>
      <c r="BE12" s="250">
        <v>1.3333333333333333</v>
      </c>
      <c r="BF12" s="250">
        <v>1.1666666666666667</v>
      </c>
      <c r="BG12" s="250">
        <v>1</v>
      </c>
      <c r="BH12" s="250">
        <v>1.6</v>
      </c>
      <c r="BI12" s="250">
        <v>2</v>
      </c>
      <c r="BJ12" s="250">
        <v>2.2000000000000002</v>
      </c>
      <c r="BK12" s="250">
        <v>1.6666666666666667</v>
      </c>
      <c r="BL12" s="250">
        <v>1</v>
      </c>
      <c r="BM12" s="250">
        <v>2</v>
      </c>
      <c r="BN12" s="250">
        <v>1.2857142857142858</v>
      </c>
      <c r="BO12" s="27">
        <v>1.2857142857142858</v>
      </c>
      <c r="BP12" s="27">
        <v>2.2000000000000002</v>
      </c>
      <c r="BQ12" s="27">
        <v>1.6666666666666667</v>
      </c>
    </row>
    <row r="13" spans="1:69" s="90" customFormat="1">
      <c r="A13" s="3" t="s">
        <v>628</v>
      </c>
      <c r="B13" s="3" t="s">
        <v>629</v>
      </c>
      <c r="C13" s="3">
        <v>7</v>
      </c>
      <c r="D13" s="3" t="s">
        <v>641</v>
      </c>
      <c r="E13" s="96">
        <v>0</v>
      </c>
      <c r="F13" s="250">
        <v>28.59</v>
      </c>
      <c r="G13" s="250">
        <v>49.81</v>
      </c>
      <c r="H13" s="250">
        <v>44.21</v>
      </c>
      <c r="I13" s="250">
        <v>40.49</v>
      </c>
      <c r="J13" s="250">
        <v>43.74</v>
      </c>
      <c r="K13" s="250">
        <v>47.13</v>
      </c>
      <c r="L13" s="250">
        <v>41.8</v>
      </c>
      <c r="M13" s="250">
        <v>47.44</v>
      </c>
      <c r="N13" s="250">
        <v>28.06</v>
      </c>
      <c r="O13" s="250">
        <v>43.53</v>
      </c>
      <c r="P13" s="250">
        <v>52.03</v>
      </c>
      <c r="Q13" s="250">
        <v>63.5</v>
      </c>
      <c r="R13" s="250">
        <v>37.880000000000003</v>
      </c>
      <c r="S13" s="27">
        <v>32.69</v>
      </c>
      <c r="T13" s="250">
        <v>47.1</v>
      </c>
      <c r="U13" s="251">
        <v>41.19</v>
      </c>
      <c r="V13" s="250">
        <v>1.2376623376623377</v>
      </c>
      <c r="W13" s="250">
        <v>2.0719633943427622</v>
      </c>
      <c r="X13" s="250">
        <v>1.7805074506645189</v>
      </c>
      <c r="Y13" s="250">
        <v>1.2363358778625955</v>
      </c>
      <c r="Z13" s="250">
        <v>1.3242506811989101</v>
      </c>
      <c r="AA13" s="250">
        <v>1.2827980402830703</v>
      </c>
      <c r="AB13" s="250">
        <v>1.3190280845692646</v>
      </c>
      <c r="AC13" s="250">
        <v>2.3827222501255649</v>
      </c>
      <c r="AD13" s="250">
        <v>1.1814736842105262</v>
      </c>
      <c r="AE13" s="250">
        <v>1.1506740681998415</v>
      </c>
      <c r="AF13" s="250">
        <v>2.1962853524693964</v>
      </c>
      <c r="AG13" s="250">
        <v>3.4890109890109891</v>
      </c>
      <c r="AH13" s="250">
        <v>1.3586800573888094</v>
      </c>
      <c r="AI13" s="27">
        <v>1.096244131455399</v>
      </c>
      <c r="AJ13" s="27">
        <v>1.3816368436491639</v>
      </c>
      <c r="AK13" s="27">
        <v>1.0637913223140496</v>
      </c>
      <c r="AL13" s="250">
        <v>30.76923076923077</v>
      </c>
      <c r="AM13" s="250">
        <v>53.846153846153847</v>
      </c>
      <c r="AN13" s="250">
        <v>53.846153846153847</v>
      </c>
      <c r="AO13" s="250">
        <v>46.153846153846153</v>
      </c>
      <c r="AP13" s="250">
        <v>46.153846153846153</v>
      </c>
      <c r="AQ13" s="250">
        <v>53.846153846153847</v>
      </c>
      <c r="AR13" s="250">
        <v>46.153846153846153</v>
      </c>
      <c r="AS13" s="250">
        <v>53.846153846153847</v>
      </c>
      <c r="AT13" s="250">
        <v>30.76923076923077</v>
      </c>
      <c r="AU13" s="250">
        <v>46.153846153846153</v>
      </c>
      <c r="AV13" s="250">
        <v>61.53846153846154</v>
      </c>
      <c r="AW13" s="250">
        <v>76.923076923076934</v>
      </c>
      <c r="AX13" s="250">
        <v>53.846153846153847</v>
      </c>
      <c r="AY13" s="27">
        <v>38.461538461538467</v>
      </c>
      <c r="AZ13" s="27">
        <v>53.846153846153847</v>
      </c>
      <c r="BA13" s="27">
        <v>47.058823529411761</v>
      </c>
      <c r="BB13" s="250">
        <v>1.3333333333333333</v>
      </c>
      <c r="BC13" s="250">
        <v>2.3333333333333335</v>
      </c>
      <c r="BD13" s="250">
        <v>1.75</v>
      </c>
      <c r="BE13" s="250">
        <v>1.5</v>
      </c>
      <c r="BF13" s="250">
        <v>1.2</v>
      </c>
      <c r="BG13" s="250">
        <v>1.4</v>
      </c>
      <c r="BH13" s="250">
        <v>1.2</v>
      </c>
      <c r="BI13" s="250">
        <v>3.5</v>
      </c>
      <c r="BJ13" s="250">
        <v>1.3333333333333333</v>
      </c>
      <c r="BK13" s="250">
        <v>1.0909090909090908</v>
      </c>
      <c r="BL13" s="250">
        <v>2</v>
      </c>
      <c r="BM13" s="250">
        <v>3.3333333333333335</v>
      </c>
      <c r="BN13" s="250">
        <v>1.4</v>
      </c>
      <c r="BO13" s="27">
        <v>1.25</v>
      </c>
      <c r="BP13" s="27">
        <v>1.4</v>
      </c>
      <c r="BQ13" s="27">
        <v>1</v>
      </c>
    </row>
    <row r="14" spans="1:69" s="90" customFormat="1">
      <c r="A14" s="3" t="s">
        <v>632</v>
      </c>
      <c r="B14" s="3" t="s">
        <v>633</v>
      </c>
      <c r="C14" s="3">
        <v>9</v>
      </c>
      <c r="D14" s="3" t="s">
        <v>641</v>
      </c>
      <c r="E14" s="96">
        <v>0</v>
      </c>
      <c r="F14" s="250">
        <v>42.83</v>
      </c>
      <c r="G14" s="250">
        <v>44.95</v>
      </c>
      <c r="H14" s="250">
        <v>52.91</v>
      </c>
      <c r="I14" s="250">
        <v>58.67</v>
      </c>
      <c r="J14" s="250">
        <v>45.06</v>
      </c>
      <c r="K14" s="250">
        <v>55.46</v>
      </c>
      <c r="L14" s="250">
        <v>58.82</v>
      </c>
      <c r="M14" s="250">
        <v>57.46</v>
      </c>
      <c r="N14" s="250">
        <v>72.28</v>
      </c>
      <c r="O14" s="250"/>
      <c r="P14" s="250">
        <v>72.27</v>
      </c>
      <c r="Q14" s="250">
        <v>63.2</v>
      </c>
      <c r="R14" s="250">
        <v>76.040000000000006</v>
      </c>
      <c r="S14" s="27">
        <v>65.88</v>
      </c>
      <c r="T14" s="250">
        <v>75.540000000000006</v>
      </c>
      <c r="U14" s="251">
        <v>63.47</v>
      </c>
      <c r="V14" s="250">
        <v>1.5389867049946102</v>
      </c>
      <c r="W14" s="250">
        <v>1.0201997276441217</v>
      </c>
      <c r="X14" s="250">
        <v>1.1537287396423899</v>
      </c>
      <c r="Y14" s="250">
        <v>1.5691361326557904</v>
      </c>
      <c r="Z14" s="250">
        <v>1.3355068168346176</v>
      </c>
      <c r="AA14" s="250">
        <v>1.4773574853489613</v>
      </c>
      <c r="AB14" s="250">
        <v>1.4563010646199555</v>
      </c>
      <c r="AC14" s="250">
        <v>1.4688139059304706</v>
      </c>
      <c r="AD14" s="250">
        <v>2.6312340735347655</v>
      </c>
      <c r="AE14" s="250"/>
      <c r="AF14" s="250">
        <v>2.9704069050554871</v>
      </c>
      <c r="AG14" s="250">
        <v>2.3948465327775672</v>
      </c>
      <c r="AH14" s="250">
        <v>4.0881720430107524</v>
      </c>
      <c r="AI14" s="27">
        <v>1.9607142857142854</v>
      </c>
      <c r="AJ14" s="27">
        <v>3.2518295307791649</v>
      </c>
      <c r="AK14" s="27">
        <v>1.8822657176749704</v>
      </c>
      <c r="AL14" s="250">
        <v>43.333333333333336</v>
      </c>
      <c r="AM14" s="250">
        <v>46.666666666666664</v>
      </c>
      <c r="AN14" s="250">
        <v>53.333333333333336</v>
      </c>
      <c r="AO14" s="250">
        <v>60</v>
      </c>
      <c r="AP14" s="250">
        <v>46.666666666666664</v>
      </c>
      <c r="AQ14" s="250">
        <v>60</v>
      </c>
      <c r="AR14" s="250">
        <v>60</v>
      </c>
      <c r="AS14" s="250">
        <v>60</v>
      </c>
      <c r="AT14" s="250">
        <v>73.333333333333329</v>
      </c>
      <c r="AU14" s="250">
        <v>60</v>
      </c>
      <c r="AV14" s="250">
        <v>73.333333333333329</v>
      </c>
      <c r="AW14" s="250">
        <v>73.333333333333329</v>
      </c>
      <c r="AX14" s="250">
        <v>80</v>
      </c>
      <c r="AY14" s="27">
        <v>66.666666666666657</v>
      </c>
      <c r="AZ14" s="27">
        <v>80</v>
      </c>
      <c r="BA14" s="27">
        <v>66.666666666666657</v>
      </c>
      <c r="BB14" s="250">
        <v>1.4444444444444444</v>
      </c>
      <c r="BC14" s="250">
        <v>1</v>
      </c>
      <c r="BD14" s="250">
        <v>1.1428571428571428</v>
      </c>
      <c r="BE14" s="250">
        <v>1.5</v>
      </c>
      <c r="BF14" s="250">
        <v>1.4</v>
      </c>
      <c r="BG14" s="250">
        <v>1.5</v>
      </c>
      <c r="BH14" s="250">
        <v>1.5</v>
      </c>
      <c r="BI14" s="250">
        <v>1.5</v>
      </c>
      <c r="BJ14" s="250">
        <v>2.75</v>
      </c>
      <c r="BK14" s="250">
        <v>1.5</v>
      </c>
      <c r="BL14" s="250">
        <v>2.75</v>
      </c>
      <c r="BM14" s="250">
        <v>2.75</v>
      </c>
      <c r="BN14" s="250">
        <v>4</v>
      </c>
      <c r="BO14" s="27">
        <v>2</v>
      </c>
      <c r="BP14" s="27">
        <v>4</v>
      </c>
      <c r="BQ14" s="27">
        <v>2</v>
      </c>
    </row>
    <row r="15" spans="1:69" s="90" customFormat="1">
      <c r="A15" s="3" t="s">
        <v>634</v>
      </c>
      <c r="B15" s="3" t="s">
        <v>715</v>
      </c>
      <c r="C15" s="3">
        <v>10</v>
      </c>
      <c r="D15" s="3" t="s">
        <v>664</v>
      </c>
      <c r="E15" s="96">
        <v>0</v>
      </c>
      <c r="F15" s="250">
        <v>47.01</v>
      </c>
      <c r="G15" s="250">
        <v>33.97</v>
      </c>
      <c r="H15" s="250">
        <v>42.96</v>
      </c>
      <c r="I15" s="250">
        <v>40.880000000000003</v>
      </c>
      <c r="J15" s="250">
        <v>46.91</v>
      </c>
      <c r="K15" s="250">
        <v>43.54</v>
      </c>
      <c r="L15" s="250">
        <v>56.23</v>
      </c>
      <c r="M15" s="250">
        <v>47.98</v>
      </c>
      <c r="N15" s="250">
        <v>51.23</v>
      </c>
      <c r="O15" s="250">
        <v>38.630000000000003</v>
      </c>
      <c r="P15" s="250">
        <v>54.49</v>
      </c>
      <c r="Q15" s="250">
        <v>48.77</v>
      </c>
      <c r="R15" s="250">
        <v>35.89</v>
      </c>
      <c r="S15" s="27">
        <v>41.44</v>
      </c>
      <c r="T15" s="250">
        <v>53.78</v>
      </c>
      <c r="U15" s="251">
        <v>32.14</v>
      </c>
      <c r="V15" s="250">
        <v>1.7806818181818183</v>
      </c>
      <c r="W15" s="250">
        <v>1.4737527114967461</v>
      </c>
      <c r="X15" s="250">
        <v>1.2183777651730006</v>
      </c>
      <c r="Y15" s="250">
        <v>2.4232365145228214</v>
      </c>
      <c r="Z15" s="250">
        <v>2.5675971538040501</v>
      </c>
      <c r="AA15" s="250">
        <v>1.7061128526645768</v>
      </c>
      <c r="AB15" s="250">
        <v>1.7301538461538462</v>
      </c>
      <c r="AC15" s="250">
        <v>1.3228563551144195</v>
      </c>
      <c r="AD15" s="250">
        <v>1.0695198329853861</v>
      </c>
      <c r="AE15" s="250">
        <v>1.3050675675675676</v>
      </c>
      <c r="AF15" s="250">
        <v>1.6246273106738225</v>
      </c>
      <c r="AG15" s="250">
        <v>1.7306600425833927</v>
      </c>
      <c r="AH15" s="250">
        <v>1.4046966731898238</v>
      </c>
      <c r="AI15" s="27">
        <v>1.4182067077344285</v>
      </c>
      <c r="AJ15" s="27">
        <v>2.1148250098309083</v>
      </c>
      <c r="AK15" s="27">
        <v>1.0185390587862462</v>
      </c>
      <c r="AL15" s="250">
        <v>50</v>
      </c>
      <c r="AM15" s="250">
        <v>33.333333333333329</v>
      </c>
      <c r="AN15" s="250">
        <v>45.454545454545453</v>
      </c>
      <c r="AO15" s="250">
        <v>54.166666666666664</v>
      </c>
      <c r="AP15" s="250">
        <v>54.166666666666664</v>
      </c>
      <c r="AQ15" s="250">
        <v>45.833333333333329</v>
      </c>
      <c r="AR15" s="250">
        <v>58.333333333333336</v>
      </c>
      <c r="AS15" s="250">
        <v>54.166666666666664</v>
      </c>
      <c r="AT15" s="250">
        <v>50</v>
      </c>
      <c r="AU15" s="250">
        <v>58.333333333333336</v>
      </c>
      <c r="AV15" s="250">
        <v>62.5</v>
      </c>
      <c r="AW15" s="250">
        <v>58.333333333333336</v>
      </c>
      <c r="AX15" s="250">
        <v>45.833333333333329</v>
      </c>
      <c r="AY15" s="27">
        <v>50</v>
      </c>
      <c r="AZ15" s="27">
        <v>58.333333333333336</v>
      </c>
      <c r="BA15" s="27">
        <v>41.666666666666671</v>
      </c>
      <c r="BB15" s="250">
        <v>1.875</v>
      </c>
      <c r="BC15" s="250">
        <v>1.25</v>
      </c>
      <c r="BD15" s="250">
        <v>1.1538461538461537</v>
      </c>
      <c r="BE15" s="250">
        <v>2.6</v>
      </c>
      <c r="BF15" s="250">
        <v>2.1666666666666665</v>
      </c>
      <c r="BG15" s="250">
        <v>1.5714285714285714</v>
      </c>
      <c r="BH15" s="250">
        <v>1.75</v>
      </c>
      <c r="BI15" s="250">
        <v>1.4444444444444444</v>
      </c>
      <c r="BJ15" s="250">
        <v>1</v>
      </c>
      <c r="BK15" s="250">
        <v>1.4</v>
      </c>
      <c r="BL15" s="250">
        <v>1.6666666666666667</v>
      </c>
      <c r="BM15" s="250">
        <v>1.75</v>
      </c>
      <c r="BN15" s="250">
        <v>1.5714285714285714</v>
      </c>
      <c r="BO15" s="27">
        <v>1.5</v>
      </c>
      <c r="BP15" s="27">
        <v>2</v>
      </c>
      <c r="BQ15" s="27">
        <v>1</v>
      </c>
    </row>
    <row r="16" spans="1:69" s="90" customFormat="1">
      <c r="A16" s="3" t="s">
        <v>718</v>
      </c>
      <c r="B16" s="3" t="s">
        <v>719</v>
      </c>
      <c r="C16" s="3">
        <v>12</v>
      </c>
      <c r="D16" s="3" t="s">
        <v>664</v>
      </c>
      <c r="E16" s="96">
        <v>0</v>
      </c>
      <c r="F16" s="250">
        <v>56.24</v>
      </c>
      <c r="G16" s="250">
        <v>52.07</v>
      </c>
      <c r="H16" s="250">
        <v>55.6</v>
      </c>
      <c r="I16" s="250">
        <v>63.38</v>
      </c>
      <c r="J16" s="250">
        <v>76.099999999999994</v>
      </c>
      <c r="K16" s="250">
        <v>69.209999999999994</v>
      </c>
      <c r="L16" s="250">
        <v>76</v>
      </c>
      <c r="M16" s="250">
        <v>53.57</v>
      </c>
      <c r="N16" s="250">
        <v>66.23</v>
      </c>
      <c r="O16" s="250">
        <v>56.78</v>
      </c>
      <c r="P16" s="250">
        <v>56.67</v>
      </c>
      <c r="Q16" s="250">
        <v>61.39</v>
      </c>
      <c r="R16" s="250">
        <v>27.93</v>
      </c>
      <c r="S16" s="27">
        <v>20.51</v>
      </c>
      <c r="T16" s="250">
        <v>67.2</v>
      </c>
      <c r="U16" s="251"/>
      <c r="V16" s="250">
        <v>1.4274111675126904</v>
      </c>
      <c r="W16" s="250">
        <v>1.2595549104983066</v>
      </c>
      <c r="X16" s="250">
        <v>1.7952857604133032</v>
      </c>
      <c r="Y16" s="250">
        <v>2.1765109890109891</v>
      </c>
      <c r="Z16" s="250">
        <v>3.8767193071828832</v>
      </c>
      <c r="AA16" s="250">
        <v>2.4429932933286267</v>
      </c>
      <c r="AB16" s="250">
        <v>4.1484716157205241</v>
      </c>
      <c r="AC16" s="250">
        <v>1.85684575389948</v>
      </c>
      <c r="AD16" s="250">
        <v>2.2307174132704617</v>
      </c>
      <c r="AE16" s="250">
        <v>2.2711999999999999</v>
      </c>
      <c r="AF16" s="250">
        <v>1.41675</v>
      </c>
      <c r="AG16" s="250">
        <v>2.3840776699029127</v>
      </c>
      <c r="AH16" s="250">
        <v>1.3985978968452679</v>
      </c>
      <c r="AI16" s="27">
        <v>1.0265265265265267</v>
      </c>
      <c r="AJ16" s="27"/>
      <c r="AK16" s="80"/>
      <c r="AL16" s="250">
        <v>84</v>
      </c>
      <c r="AM16" s="250">
        <v>91.666666666666657</v>
      </c>
      <c r="AN16" s="250"/>
      <c r="AO16" s="250">
        <v>85.714285714285708</v>
      </c>
      <c r="AP16" s="250">
        <v>93.75</v>
      </c>
      <c r="AQ16" s="250"/>
      <c r="AR16" s="250">
        <v>88.235294117647058</v>
      </c>
      <c r="AS16" s="250">
        <v>84.615384615384613</v>
      </c>
      <c r="AT16" s="250">
        <v>87.5</v>
      </c>
      <c r="AU16" s="250">
        <v>92.307692307692307</v>
      </c>
      <c r="AV16" s="250">
        <v>70</v>
      </c>
      <c r="AW16" s="250">
        <v>85.714285714285708</v>
      </c>
      <c r="AX16" s="250">
        <f>(5/9)*100</f>
        <v>55.555555555555557</v>
      </c>
      <c r="AY16" s="27">
        <v>88.888888888888886</v>
      </c>
      <c r="AZ16" s="27">
        <v>89.473684210526315</v>
      </c>
      <c r="BA16" s="27">
        <v>22.222222222222221</v>
      </c>
      <c r="BB16" s="250">
        <v>5.25</v>
      </c>
      <c r="BC16" s="250">
        <v>11</v>
      </c>
      <c r="BD16" s="250"/>
      <c r="BE16" s="250">
        <v>12</v>
      </c>
      <c r="BF16" s="250">
        <v>15</v>
      </c>
      <c r="BG16" s="250"/>
      <c r="BH16" s="250">
        <v>7.5</v>
      </c>
      <c r="BI16" s="250">
        <v>5.5</v>
      </c>
      <c r="BJ16" s="250">
        <v>7</v>
      </c>
      <c r="BK16" s="250">
        <v>12</v>
      </c>
      <c r="BL16" s="250">
        <v>2.3333333333333335</v>
      </c>
      <c r="BM16" s="250">
        <v>12</v>
      </c>
      <c r="BN16" s="250">
        <v>2.5</v>
      </c>
      <c r="BO16" s="27">
        <v>16</v>
      </c>
      <c r="BP16" s="27">
        <v>8.5</v>
      </c>
      <c r="BQ16" s="27">
        <v>1.3333333333333333</v>
      </c>
    </row>
    <row r="17" spans="1:69" s="90" customFormat="1">
      <c r="A17" s="3" t="s">
        <v>711</v>
      </c>
      <c r="B17" s="3" t="s">
        <v>712</v>
      </c>
      <c r="C17" s="3">
        <v>13</v>
      </c>
      <c r="D17" s="3" t="s">
        <v>713</v>
      </c>
      <c r="E17" s="96">
        <v>0</v>
      </c>
      <c r="F17" s="250">
        <v>47.88</v>
      </c>
      <c r="G17" s="250">
        <v>51.83</v>
      </c>
      <c r="H17" s="250">
        <v>45.46</v>
      </c>
      <c r="I17" s="250">
        <v>41.68</v>
      </c>
      <c r="J17" s="250">
        <v>51.02</v>
      </c>
      <c r="K17" s="250">
        <v>49.64</v>
      </c>
      <c r="L17" s="250">
        <v>44.31</v>
      </c>
      <c r="M17" s="250">
        <v>29.72</v>
      </c>
      <c r="N17" s="250">
        <v>38.159999999999997</v>
      </c>
      <c r="O17" s="250">
        <v>28.21</v>
      </c>
      <c r="P17" s="250">
        <v>36.159999999999997</v>
      </c>
      <c r="Q17" s="250">
        <v>33.409999999999997</v>
      </c>
      <c r="R17" s="250">
        <v>37.880000000000003</v>
      </c>
      <c r="S17" s="27">
        <v>48.36</v>
      </c>
      <c r="T17" s="250">
        <v>43.85</v>
      </c>
      <c r="U17" s="251">
        <v>46.48</v>
      </c>
      <c r="V17" s="250">
        <v>1.3393006993006993</v>
      </c>
      <c r="W17" s="250">
        <v>1.9896353166986562</v>
      </c>
      <c r="X17" s="250">
        <v>1.2687691878314262</v>
      </c>
      <c r="Y17" s="250">
        <v>1.4332874828060524</v>
      </c>
      <c r="Z17" s="250">
        <v>1.6452757175104804</v>
      </c>
      <c r="AA17" s="250">
        <v>1.6947763741891431</v>
      </c>
      <c r="AB17" s="250">
        <v>2.1990074441687346</v>
      </c>
      <c r="AC17" s="250">
        <v>1.0188549880013711</v>
      </c>
      <c r="AD17" s="250">
        <v>1.2458374142997062</v>
      </c>
      <c r="AE17" s="250">
        <v>1.3754266211604096</v>
      </c>
      <c r="AF17" s="250">
        <v>1.2555555555555553</v>
      </c>
      <c r="AG17" s="250">
        <v>1.5332721431849472</v>
      </c>
      <c r="AH17" s="250">
        <v>2.38</v>
      </c>
      <c r="AI17" s="27">
        <v>2.5847140566541955</v>
      </c>
      <c r="AJ17" s="27">
        <v>1.6775057383320582</v>
      </c>
      <c r="AK17" s="27">
        <v>1.6982097186700766</v>
      </c>
      <c r="AL17" s="250">
        <v>52.083333333333336</v>
      </c>
      <c r="AM17" s="250">
        <v>58.333333333333336</v>
      </c>
      <c r="AN17" s="250">
        <v>50</v>
      </c>
      <c r="AO17" s="250">
        <v>45.833333333333329</v>
      </c>
      <c r="AP17" s="250">
        <v>58.333333333333336</v>
      </c>
      <c r="AQ17" s="250">
        <v>58.333333333333336</v>
      </c>
      <c r="AR17" s="250">
        <v>50</v>
      </c>
      <c r="AS17" s="250">
        <v>37.5</v>
      </c>
      <c r="AT17" s="250">
        <v>41.666666666666671</v>
      </c>
      <c r="AU17" s="250">
        <v>37.5</v>
      </c>
      <c r="AV17" s="250">
        <v>50</v>
      </c>
      <c r="AW17" s="250">
        <v>50</v>
      </c>
      <c r="AX17" s="250">
        <v>45.833333333333329</v>
      </c>
      <c r="AY17" s="27">
        <v>58.333333333333336</v>
      </c>
      <c r="AZ17" s="27">
        <v>54.166666666666664</v>
      </c>
      <c r="BA17" s="27">
        <v>54.166666666666664</v>
      </c>
      <c r="BB17" s="250">
        <v>1.3888888888888888</v>
      </c>
      <c r="BC17" s="250">
        <v>2.3333333333333335</v>
      </c>
      <c r="BD17" s="250">
        <v>1.3333333333333333</v>
      </c>
      <c r="BE17" s="250">
        <v>1.375</v>
      </c>
      <c r="BF17" s="250">
        <v>1.5555555555555556</v>
      </c>
      <c r="BG17" s="250">
        <v>2.3333333333333335</v>
      </c>
      <c r="BH17" s="250">
        <v>2.4</v>
      </c>
      <c r="BI17" s="250">
        <v>1</v>
      </c>
      <c r="BJ17" s="250">
        <v>1.4285714285714286</v>
      </c>
      <c r="BK17" s="250">
        <v>1.5</v>
      </c>
      <c r="BL17" s="250">
        <v>1.3333333333333333</v>
      </c>
      <c r="BM17" s="250">
        <v>1.7142857142857142</v>
      </c>
      <c r="BN17" s="250">
        <v>5.5</v>
      </c>
      <c r="BO17" s="27">
        <v>1.75</v>
      </c>
      <c r="BP17" s="27">
        <v>1.625</v>
      </c>
      <c r="BQ17" s="27">
        <v>1.625</v>
      </c>
    </row>
    <row r="18" spans="1:69" s="90" customFormat="1">
      <c r="A18" s="3" t="s">
        <v>714</v>
      </c>
      <c r="B18" s="3" t="s">
        <v>530</v>
      </c>
      <c r="C18" s="3">
        <v>14</v>
      </c>
      <c r="D18" s="3" t="s">
        <v>641</v>
      </c>
      <c r="E18" s="96">
        <v>0</v>
      </c>
      <c r="F18" s="250">
        <v>49.83</v>
      </c>
      <c r="G18" s="250">
        <v>54.81</v>
      </c>
      <c r="H18" s="250">
        <v>47.54</v>
      </c>
      <c r="I18" s="250">
        <v>52.08</v>
      </c>
      <c r="J18" s="250">
        <v>51.35</v>
      </c>
      <c r="K18" s="250">
        <v>50.45</v>
      </c>
      <c r="L18" s="250">
        <v>48.97</v>
      </c>
      <c r="M18" s="250">
        <v>47.36</v>
      </c>
      <c r="N18" s="250">
        <v>53.66</v>
      </c>
      <c r="O18" s="250"/>
      <c r="P18" s="250">
        <v>47.05</v>
      </c>
      <c r="Q18" s="250">
        <v>44.79</v>
      </c>
      <c r="R18" s="250">
        <v>38.39</v>
      </c>
      <c r="S18" s="27">
        <v>46.29</v>
      </c>
      <c r="T18" s="250">
        <v>75.69</v>
      </c>
      <c r="U18" s="251">
        <v>34.130000000000003</v>
      </c>
      <c r="V18" s="250">
        <v>1.0550497565106924</v>
      </c>
      <c r="W18" s="250">
        <v>1.4217898832684825</v>
      </c>
      <c r="X18" s="250">
        <v>1.0210481099656357</v>
      </c>
      <c r="Y18" s="250">
        <v>1.4071872466900839</v>
      </c>
      <c r="Z18" s="250">
        <v>1.1567920702861005</v>
      </c>
      <c r="AA18" s="250">
        <v>1.1375422773393462</v>
      </c>
      <c r="AB18" s="250">
        <v>1.0657236126224157</v>
      </c>
      <c r="AC18" s="250">
        <v>1.0012684989429177</v>
      </c>
      <c r="AD18" s="250">
        <v>1.1688085384447833</v>
      </c>
      <c r="AE18" s="250"/>
      <c r="AF18" s="250">
        <v>1.4428089543084943</v>
      </c>
      <c r="AG18" s="250">
        <v>2.1440880804212541</v>
      </c>
      <c r="AH18" s="250">
        <v>1.3574964639321074</v>
      </c>
      <c r="AI18" s="27">
        <v>4.144136078782453</v>
      </c>
      <c r="AJ18" s="27">
        <v>12.033386327503974</v>
      </c>
      <c r="AK18" s="27">
        <v>1.8163916977115488</v>
      </c>
      <c r="AL18" s="250">
        <v>52.5</v>
      </c>
      <c r="AM18" s="250">
        <v>60</v>
      </c>
      <c r="AN18" s="250">
        <v>50</v>
      </c>
      <c r="AO18" s="250">
        <v>55.000000000000007</v>
      </c>
      <c r="AP18" s="250">
        <v>55.000000000000007</v>
      </c>
      <c r="AQ18" s="250">
        <v>55.000000000000007</v>
      </c>
      <c r="AR18" s="250">
        <v>50</v>
      </c>
      <c r="AS18" s="250">
        <v>50</v>
      </c>
      <c r="AT18" s="250">
        <v>55.000000000000007</v>
      </c>
      <c r="AU18" s="250">
        <v>45</v>
      </c>
      <c r="AV18" s="250">
        <v>53.333333333333336</v>
      </c>
      <c r="AW18" s="250">
        <v>60</v>
      </c>
      <c r="AX18" s="250">
        <v>45</v>
      </c>
      <c r="AY18" s="27">
        <v>60</v>
      </c>
      <c r="AZ18" s="27">
        <v>90</v>
      </c>
      <c r="BA18" s="27">
        <v>45</v>
      </c>
      <c r="BB18" s="250">
        <v>1.1052631578947369</v>
      </c>
      <c r="BC18" s="250">
        <v>1.5</v>
      </c>
      <c r="BD18" s="250">
        <v>1</v>
      </c>
      <c r="BE18" s="250">
        <v>1.375</v>
      </c>
      <c r="BF18" s="250">
        <v>1.2222222222222223</v>
      </c>
      <c r="BG18" s="250">
        <v>1.2222222222222223</v>
      </c>
      <c r="BH18" s="250">
        <v>1</v>
      </c>
      <c r="BI18" s="250">
        <v>1</v>
      </c>
      <c r="BJ18" s="250">
        <v>1.2222222222222223</v>
      </c>
      <c r="BK18" s="250">
        <v>1</v>
      </c>
      <c r="BL18" s="250">
        <v>1.6</v>
      </c>
      <c r="BM18" s="250">
        <v>2.4</v>
      </c>
      <c r="BN18" s="250">
        <v>1.5</v>
      </c>
      <c r="BO18" s="27">
        <v>6</v>
      </c>
      <c r="BP18" s="27">
        <v>18</v>
      </c>
      <c r="BQ18" s="27">
        <v>1.8</v>
      </c>
    </row>
    <row r="19" spans="1:69" s="90" customFormat="1">
      <c r="A19" s="3" t="s">
        <v>926</v>
      </c>
      <c r="B19" s="3" t="s">
        <v>927</v>
      </c>
      <c r="C19" s="3">
        <v>17</v>
      </c>
      <c r="D19" s="3" t="s">
        <v>664</v>
      </c>
      <c r="E19" s="96">
        <v>0</v>
      </c>
      <c r="F19" s="250">
        <v>48.91</v>
      </c>
      <c r="G19" s="250">
        <v>37.869999999999997</v>
      </c>
      <c r="H19" s="250">
        <v>50.98</v>
      </c>
      <c r="I19" s="250">
        <v>35.47</v>
      </c>
      <c r="J19" s="250">
        <v>51.8</v>
      </c>
      <c r="K19" s="250">
        <v>42</v>
      </c>
      <c r="L19" s="250">
        <v>47.55</v>
      </c>
      <c r="M19" s="250">
        <v>53.12</v>
      </c>
      <c r="N19" s="250">
        <v>58.03</v>
      </c>
      <c r="O19" s="250">
        <v>60.7</v>
      </c>
      <c r="P19" s="250">
        <v>35.36</v>
      </c>
      <c r="Q19" s="250">
        <v>36.69</v>
      </c>
      <c r="R19" s="250">
        <v>35.69</v>
      </c>
      <c r="S19" s="27">
        <v>24.01</v>
      </c>
      <c r="T19" s="250">
        <v>26.2</v>
      </c>
      <c r="U19" s="251">
        <v>19.84</v>
      </c>
      <c r="V19" s="250">
        <v>1.6675758608932834</v>
      </c>
      <c r="W19" s="250">
        <v>1.0685665914221218</v>
      </c>
      <c r="X19" s="250">
        <v>1.9036594473487676</v>
      </c>
      <c r="Y19" s="250">
        <v>1.3294602698650675</v>
      </c>
      <c r="Z19" s="250">
        <v>1.4172366621067032</v>
      </c>
      <c r="AA19" s="250">
        <v>1.2</v>
      </c>
      <c r="AB19" s="250">
        <v>1.1527272727272726</v>
      </c>
      <c r="AC19" s="250">
        <v>1.2313398238293927</v>
      </c>
      <c r="AD19" s="250">
        <v>1.4250982318271121</v>
      </c>
      <c r="AE19" s="250">
        <v>2.35</v>
      </c>
      <c r="AF19" s="250">
        <v>1.4581443298969072</v>
      </c>
      <c r="AG19" s="250">
        <v>1.5672789406236649</v>
      </c>
      <c r="AH19" s="250">
        <v>1.3184336904322127</v>
      </c>
      <c r="AI19" s="27">
        <v>2.0330228619813719</v>
      </c>
      <c r="AJ19" s="27">
        <v>2.1129032258064515</v>
      </c>
      <c r="AK19" s="27">
        <v>1.1508120649651974</v>
      </c>
      <c r="AL19" s="250">
        <v>59.090909090909093</v>
      </c>
      <c r="AM19" s="250">
        <v>48.484848484848484</v>
      </c>
      <c r="AN19" s="250">
        <v>66.666666666666657</v>
      </c>
      <c r="AO19" s="250">
        <v>53.333333333333336</v>
      </c>
      <c r="AP19" s="250"/>
      <c r="AQ19" s="250"/>
      <c r="AR19" s="250">
        <v>73.3</v>
      </c>
      <c r="AS19" s="250">
        <v>66.666666666666657</v>
      </c>
      <c r="AT19" s="250">
        <v>76.599999999999994</v>
      </c>
      <c r="AU19" s="250">
        <v>80</v>
      </c>
      <c r="AV19" s="250">
        <v>53.333333333333336</v>
      </c>
      <c r="AW19" s="250">
        <v>57.142857142857139</v>
      </c>
      <c r="AX19" s="250">
        <v>56.666666666666664</v>
      </c>
      <c r="AY19" s="27">
        <v>40</v>
      </c>
      <c r="AZ19" s="27">
        <v>50</v>
      </c>
      <c r="BA19" s="27">
        <v>36.666666666666664</v>
      </c>
      <c r="BB19" s="250">
        <v>2</v>
      </c>
      <c r="BC19" s="250">
        <v>1.0625</v>
      </c>
      <c r="BD19" s="250">
        <v>2.8571428571428572</v>
      </c>
      <c r="BE19" s="250">
        <v>1.7777777777777777</v>
      </c>
      <c r="BF19" s="250"/>
      <c r="BG19" s="250"/>
      <c r="BH19" s="250">
        <v>3.1459227467811157</v>
      </c>
      <c r="BI19" s="250">
        <v>2</v>
      </c>
      <c r="BJ19" s="250">
        <v>3.2875536480686693</v>
      </c>
      <c r="BK19" s="250">
        <v>4</v>
      </c>
      <c r="BL19" s="250">
        <v>2.6666666666666665</v>
      </c>
      <c r="BM19" s="250">
        <v>2.5</v>
      </c>
      <c r="BN19" s="250">
        <v>1.8888888888888888</v>
      </c>
      <c r="BO19" s="27">
        <v>4</v>
      </c>
      <c r="BP19" s="27">
        <v>5</v>
      </c>
      <c r="BQ19" s="27">
        <v>2.75</v>
      </c>
    </row>
    <row r="20" spans="1:69" s="90" customFormat="1">
      <c r="A20" s="3" t="s">
        <v>841</v>
      </c>
      <c r="B20" s="3" t="s">
        <v>659</v>
      </c>
      <c r="C20" s="3">
        <v>19</v>
      </c>
      <c r="D20" s="3" t="s">
        <v>713</v>
      </c>
      <c r="E20" s="96">
        <v>0</v>
      </c>
      <c r="F20" s="250">
        <v>40</v>
      </c>
      <c r="G20" s="250">
        <v>49.08</v>
      </c>
      <c r="H20" s="250">
        <v>44.16</v>
      </c>
      <c r="I20" s="250">
        <v>41.94</v>
      </c>
      <c r="J20" s="250"/>
      <c r="K20" s="250">
        <v>44.76</v>
      </c>
      <c r="L20" s="250">
        <v>52.26</v>
      </c>
      <c r="M20" s="250">
        <v>44.24</v>
      </c>
      <c r="N20" s="250"/>
      <c r="O20" s="250">
        <v>63.57</v>
      </c>
      <c r="P20" s="250">
        <v>53.19</v>
      </c>
      <c r="Q20" s="250">
        <v>36.049999999999997</v>
      </c>
      <c r="R20" s="250">
        <v>42.7</v>
      </c>
      <c r="S20" s="27">
        <v>35.14</v>
      </c>
      <c r="T20" s="250">
        <v>59.38</v>
      </c>
      <c r="U20" s="251">
        <v>37.15</v>
      </c>
      <c r="V20" s="250">
        <v>1.0726736390453204</v>
      </c>
      <c r="W20" s="250">
        <v>1.0786813186813187</v>
      </c>
      <c r="X20" s="250">
        <v>1.3092202786836644</v>
      </c>
      <c r="Y20" s="250">
        <v>1.1253018513549771</v>
      </c>
      <c r="Z20" s="250"/>
      <c r="AA20" s="250">
        <v>1.5601254792610664</v>
      </c>
      <c r="AB20" s="250">
        <v>1.9291251384274639</v>
      </c>
      <c r="AC20" s="250">
        <v>1.3616497383810402</v>
      </c>
      <c r="AD20" s="250"/>
      <c r="AE20" s="250">
        <v>4.9393939393939394</v>
      </c>
      <c r="AF20" s="250">
        <v>3.5890688259109309</v>
      </c>
      <c r="AG20" s="250">
        <v>2.1874999999999996</v>
      </c>
      <c r="AH20" s="250">
        <v>1.9303797468354431</v>
      </c>
      <c r="AI20" s="27">
        <v>2.2198357548957675</v>
      </c>
      <c r="AJ20" s="80"/>
      <c r="AK20" s="27">
        <v>1.5188062142273098</v>
      </c>
      <c r="AL20" s="250">
        <v>56.666666666666664</v>
      </c>
      <c r="AM20" s="250">
        <v>60</v>
      </c>
      <c r="AN20" s="250">
        <v>64.285714285714292</v>
      </c>
      <c r="AO20" s="250"/>
      <c r="AP20" s="250"/>
      <c r="AQ20" s="250">
        <v>50</v>
      </c>
      <c r="AR20" s="250">
        <v>66.666666666666657</v>
      </c>
      <c r="AS20" s="250">
        <v>59.090909090909093</v>
      </c>
      <c r="AT20" s="250"/>
      <c r="AU20" s="250">
        <v>72.727272727272734</v>
      </c>
      <c r="AV20" s="250">
        <v>76.19047619047619</v>
      </c>
      <c r="AW20" s="250">
        <v>59.090909090909093</v>
      </c>
      <c r="AX20" s="250">
        <v>57.142857142857139</v>
      </c>
      <c r="AY20" s="27">
        <v>50</v>
      </c>
      <c r="AZ20" s="27">
        <v>61.904761904761905</v>
      </c>
      <c r="BA20" s="27">
        <v>45.454545454545453</v>
      </c>
      <c r="BB20" s="250">
        <v>1.4166666666666667</v>
      </c>
      <c r="BC20" s="250">
        <v>1.5</v>
      </c>
      <c r="BD20" s="250">
        <v>2</v>
      </c>
      <c r="BE20" s="250"/>
      <c r="BF20" s="250"/>
      <c r="BG20" s="250">
        <v>1.5714285714285714</v>
      </c>
      <c r="BH20" s="250">
        <v>2.8</v>
      </c>
      <c r="BI20" s="250">
        <v>1.8571428571428572</v>
      </c>
      <c r="BJ20" s="250"/>
      <c r="BK20" s="250">
        <v>3.2</v>
      </c>
      <c r="BL20" s="250">
        <v>8</v>
      </c>
      <c r="BM20" s="250">
        <v>6.5</v>
      </c>
      <c r="BN20" s="250">
        <v>3</v>
      </c>
      <c r="BO20" s="27">
        <v>5.5</v>
      </c>
      <c r="BP20" s="27">
        <v>3.25</v>
      </c>
      <c r="BQ20" s="27">
        <v>1.6666666666666667</v>
      </c>
    </row>
    <row r="21" spans="1:69" s="90" customFormat="1">
      <c r="A21" s="3" t="s">
        <v>721</v>
      </c>
      <c r="B21" s="3" t="s">
        <v>722</v>
      </c>
      <c r="C21" s="3">
        <v>22</v>
      </c>
      <c r="D21" s="3" t="s">
        <v>664</v>
      </c>
      <c r="E21" s="96">
        <v>0</v>
      </c>
      <c r="F21" s="250">
        <v>48.34</v>
      </c>
      <c r="G21" s="250"/>
      <c r="H21" s="250">
        <v>50.59</v>
      </c>
      <c r="I21" s="250">
        <v>38.19</v>
      </c>
      <c r="J21" s="250">
        <v>54.92</v>
      </c>
      <c r="K21" s="250">
        <v>43.8</v>
      </c>
      <c r="L21" s="250">
        <v>65.930000000000007</v>
      </c>
      <c r="M21" s="250">
        <v>50.73</v>
      </c>
      <c r="N21" s="250">
        <v>51.97</v>
      </c>
      <c r="O21" s="250"/>
      <c r="P21" s="250"/>
      <c r="Q21" s="250">
        <v>44.98</v>
      </c>
      <c r="R21" s="11"/>
      <c r="S21" s="250">
        <v>59.5</v>
      </c>
      <c r="T21" s="250"/>
      <c r="U21" s="251"/>
      <c r="V21" s="250">
        <v>1.5498557229881373</v>
      </c>
      <c r="W21" s="250"/>
      <c r="X21" s="250">
        <v>1.1900729240178782</v>
      </c>
      <c r="Y21" s="250">
        <v>1.3590747330960853</v>
      </c>
      <c r="Z21" s="250">
        <v>1.255888406128516</v>
      </c>
      <c r="AA21" s="250">
        <v>1.4445910290237467</v>
      </c>
      <c r="AB21" s="250">
        <v>3.1896468311562653</v>
      </c>
      <c r="AC21" s="250">
        <v>1.488556338028169</v>
      </c>
      <c r="AD21" s="250">
        <v>2.0574030087094219</v>
      </c>
      <c r="AE21" s="250"/>
      <c r="AF21" s="250"/>
      <c r="AG21" s="250">
        <v>1.1312877263581489</v>
      </c>
      <c r="AH21" s="250">
        <v>5.6132075471698117</v>
      </c>
      <c r="AI21" s="27">
        <v>5.6132075471698117</v>
      </c>
      <c r="AJ21" s="80"/>
      <c r="AK21" s="80"/>
      <c r="AL21" s="250">
        <v>66.666666666666657</v>
      </c>
      <c r="AM21" s="250"/>
      <c r="AN21" s="250">
        <v>66.666666666666657</v>
      </c>
      <c r="AO21" s="250">
        <v>65.217391304347828</v>
      </c>
      <c r="AP21" s="250">
        <v>68.181818181818173</v>
      </c>
      <c r="AQ21" s="250">
        <v>47.826086956521742</v>
      </c>
      <c r="AR21" s="250">
        <v>68.181818181818173</v>
      </c>
      <c r="AS21" s="250">
        <v>65.217391304347828</v>
      </c>
      <c r="AT21" s="250">
        <v>48</v>
      </c>
      <c r="AU21" s="250">
        <v>59.090909090909093</v>
      </c>
      <c r="AV21" s="250"/>
      <c r="AW21" s="250">
        <v>48</v>
      </c>
      <c r="AX21" s="250">
        <v>67.5</v>
      </c>
      <c r="AY21" s="27">
        <v>67.5</v>
      </c>
      <c r="AZ21" s="27">
        <v>61.904761904761905</v>
      </c>
      <c r="BA21" s="27">
        <v>82.5</v>
      </c>
      <c r="BB21" s="250">
        <v>2.8571428571428572</v>
      </c>
      <c r="BC21" s="250"/>
      <c r="BD21" s="250">
        <v>2</v>
      </c>
      <c r="BE21" s="250">
        <v>3.75</v>
      </c>
      <c r="BF21" s="250">
        <v>2.1428571428571428</v>
      </c>
      <c r="BG21" s="250">
        <v>1.5714285714285714</v>
      </c>
      <c r="BH21" s="250">
        <v>3.75</v>
      </c>
      <c r="BI21" s="250">
        <v>2.1428571428571428</v>
      </c>
      <c r="BJ21" s="250">
        <v>1.7142857142857142</v>
      </c>
      <c r="BK21" s="250">
        <v>1.8571428571428572</v>
      </c>
      <c r="BL21" s="250"/>
      <c r="BM21" s="250">
        <v>1.1428571428571428</v>
      </c>
      <c r="BN21" s="250">
        <v>6.75</v>
      </c>
      <c r="BO21" s="27">
        <v>6.75</v>
      </c>
      <c r="BP21" s="80"/>
      <c r="BQ21" s="27">
        <v>11</v>
      </c>
    </row>
    <row r="22" spans="1:69" s="90" customFormat="1">
      <c r="A22" s="3" t="s">
        <v>539</v>
      </c>
      <c r="B22" s="3" t="s">
        <v>540</v>
      </c>
      <c r="C22" s="3">
        <v>5</v>
      </c>
      <c r="D22" s="3" t="s">
        <v>541</v>
      </c>
      <c r="E22" s="96">
        <v>1</v>
      </c>
      <c r="F22" s="250">
        <v>39.770000000000003</v>
      </c>
      <c r="G22" s="250"/>
      <c r="H22" s="250">
        <v>45</v>
      </c>
      <c r="I22" s="250"/>
      <c r="J22" s="250">
        <v>49.92</v>
      </c>
      <c r="K22" s="250"/>
      <c r="L22" s="250">
        <v>52.06</v>
      </c>
      <c r="M22" s="250"/>
      <c r="N22" s="250">
        <v>53.28</v>
      </c>
      <c r="O22" s="250"/>
      <c r="P22" s="250">
        <v>44.39</v>
      </c>
      <c r="Q22" s="250"/>
      <c r="R22" s="250">
        <v>54.72</v>
      </c>
      <c r="S22" s="27"/>
      <c r="T22" s="250">
        <v>38.61</v>
      </c>
      <c r="U22" s="251"/>
      <c r="V22" s="250">
        <v>1.023154103421662</v>
      </c>
      <c r="W22" s="250"/>
      <c r="X22" s="250">
        <v>1.2016021361815754</v>
      </c>
      <c r="Y22" s="250"/>
      <c r="Z22" s="250">
        <v>1.477797513321492</v>
      </c>
      <c r="AA22" s="250"/>
      <c r="AB22" s="250">
        <v>1.482346241457859</v>
      </c>
      <c r="AC22" s="250"/>
      <c r="AD22" s="250">
        <v>1.4490073429426162</v>
      </c>
      <c r="AE22" s="250"/>
      <c r="AF22" s="250">
        <v>1.1226605968639354</v>
      </c>
      <c r="AG22" s="250"/>
      <c r="AH22" s="250">
        <v>3.0689848569826137</v>
      </c>
      <c r="AI22" s="80"/>
      <c r="AJ22" s="27">
        <v>1.0094117647058822</v>
      </c>
      <c r="AK22" s="80"/>
      <c r="AL22" s="250">
        <v>59.259259259259252</v>
      </c>
      <c r="AM22" s="250"/>
      <c r="AN22" s="250">
        <v>59.259259259259252</v>
      </c>
      <c r="AO22" s="250"/>
      <c r="AP22" s="250">
        <v>59.259259259259252</v>
      </c>
      <c r="AQ22" s="250"/>
      <c r="AR22" s="250">
        <v>59.259259259259252</v>
      </c>
      <c r="AS22" s="250"/>
      <c r="AT22" s="250">
        <v>59.259259259259252</v>
      </c>
      <c r="AU22" s="250"/>
      <c r="AV22" s="250">
        <v>59.259259259259252</v>
      </c>
      <c r="AW22" s="250"/>
      <c r="AX22" s="250">
        <v>59.259259259259252</v>
      </c>
      <c r="AY22" s="80"/>
      <c r="AZ22" s="27">
        <v>59.259259259259252</v>
      </c>
      <c r="BA22" s="80"/>
      <c r="BB22" s="250">
        <v>2</v>
      </c>
      <c r="BC22" s="250"/>
      <c r="BD22" s="250">
        <v>1.7777777777777777</v>
      </c>
      <c r="BE22" s="250"/>
      <c r="BF22" s="250">
        <v>1.7777777777777777</v>
      </c>
      <c r="BG22" s="250"/>
      <c r="BH22" s="250">
        <v>1.7777777777777777</v>
      </c>
      <c r="BI22" s="250"/>
      <c r="BJ22" s="250">
        <v>1.4545454545454546</v>
      </c>
      <c r="BK22" s="250"/>
      <c r="BL22" s="250">
        <v>1.7777777777777777</v>
      </c>
      <c r="BM22" s="250"/>
      <c r="BN22" s="250">
        <v>3.2</v>
      </c>
      <c r="BO22" s="80"/>
      <c r="BP22" s="27">
        <v>1.7777777777777777</v>
      </c>
      <c r="BQ22" s="80"/>
    </row>
    <row r="23" spans="1:69" s="90" customFormat="1">
      <c r="A23" s="3" t="s">
        <v>542</v>
      </c>
      <c r="B23" s="3" t="s">
        <v>543</v>
      </c>
      <c r="C23" s="3">
        <v>6</v>
      </c>
      <c r="D23" s="3" t="s">
        <v>759</v>
      </c>
      <c r="E23" s="96">
        <v>1</v>
      </c>
      <c r="F23" s="250">
        <v>55.33</v>
      </c>
      <c r="G23" s="250"/>
      <c r="H23" s="250">
        <v>46.55</v>
      </c>
      <c r="I23" s="250"/>
      <c r="J23" s="250">
        <v>48.13</v>
      </c>
      <c r="K23" s="250"/>
      <c r="L23" s="250">
        <v>44.04</v>
      </c>
      <c r="M23" s="250"/>
      <c r="N23" s="250">
        <v>34.29</v>
      </c>
      <c r="O23" s="250">
        <v>26.5</v>
      </c>
      <c r="P23" s="250">
        <v>32.979999999999997</v>
      </c>
      <c r="Q23" s="250"/>
      <c r="R23" s="250">
        <v>35.24</v>
      </c>
      <c r="S23" s="27"/>
      <c r="T23" s="27">
        <v>38.630000000000003</v>
      </c>
      <c r="U23" s="72"/>
      <c r="V23" s="250">
        <v>1.4118397550395509</v>
      </c>
      <c r="W23" s="250"/>
      <c r="X23" s="250">
        <v>1.0674157303370786</v>
      </c>
      <c r="Y23" s="250"/>
      <c r="Z23" s="250">
        <v>1.3603730921424533</v>
      </c>
      <c r="AA23" s="250"/>
      <c r="AB23" s="250">
        <v>1.0938897168405366</v>
      </c>
      <c r="AC23" s="250"/>
      <c r="AD23" s="250">
        <v>1.1557128412537916</v>
      </c>
      <c r="AE23" s="250">
        <v>1.0829587249693502</v>
      </c>
      <c r="AF23" s="250">
        <v>1.2530395136778114</v>
      </c>
      <c r="AG23" s="250"/>
      <c r="AH23" s="250">
        <v>1.9610461880912635</v>
      </c>
      <c r="AI23" s="80"/>
      <c r="AJ23" s="27">
        <v>1.4943907156673115</v>
      </c>
      <c r="AK23" s="80"/>
      <c r="AL23" s="250">
        <v>66.666666666666657</v>
      </c>
      <c r="AM23" s="250"/>
      <c r="AN23" s="250">
        <v>54.54545454545454</v>
      </c>
      <c r="AO23" s="250"/>
      <c r="AP23" s="250">
        <v>54.54545454545454</v>
      </c>
      <c r="AQ23" s="250"/>
      <c r="AR23" s="250">
        <v>54.54545454545454</v>
      </c>
      <c r="AS23" s="250"/>
      <c r="AT23" s="250">
        <v>54.54545454545454</v>
      </c>
      <c r="AU23" s="250">
        <v>47.727272727272727</v>
      </c>
      <c r="AV23" s="250">
        <v>38.636363636363633</v>
      </c>
      <c r="AW23" s="250"/>
      <c r="AX23" s="250">
        <v>38.636363636363633</v>
      </c>
      <c r="AY23" s="80"/>
      <c r="AZ23" s="27">
        <v>43.18181818181818</v>
      </c>
      <c r="BA23" s="80"/>
      <c r="BB23" s="250">
        <v>2</v>
      </c>
      <c r="BC23" s="250"/>
      <c r="BD23" s="250">
        <v>1.44</v>
      </c>
      <c r="BE23" s="250"/>
      <c r="BF23" s="250">
        <v>1.6363636363636365</v>
      </c>
      <c r="BG23" s="250"/>
      <c r="BH23" s="250">
        <v>1.6363636363636365</v>
      </c>
      <c r="BI23" s="250"/>
      <c r="BJ23" s="250">
        <v>1.6363636363636365</v>
      </c>
      <c r="BK23" s="250">
        <v>1.6153846153846154</v>
      </c>
      <c r="BL23" s="250">
        <v>1.2142857142857142</v>
      </c>
      <c r="BM23" s="250"/>
      <c r="BN23" s="250">
        <v>1.8888888888888888</v>
      </c>
      <c r="BO23" s="80"/>
      <c r="BP23" s="27">
        <v>1.5833333333333333</v>
      </c>
      <c r="BQ23" s="80"/>
    </row>
    <row r="24" spans="1:69" s="90" customFormat="1">
      <c r="A24" s="3" t="s">
        <v>630</v>
      </c>
      <c r="B24" s="3" t="s">
        <v>631</v>
      </c>
      <c r="C24" s="3">
        <v>8</v>
      </c>
      <c r="D24" s="3" t="s">
        <v>759</v>
      </c>
      <c r="E24" s="96">
        <v>1</v>
      </c>
      <c r="F24" s="250">
        <v>48.51</v>
      </c>
      <c r="G24" s="250"/>
      <c r="H24" s="250">
        <v>48.38</v>
      </c>
      <c r="I24" s="250"/>
      <c r="J24" s="250">
        <v>48.83</v>
      </c>
      <c r="K24" s="250"/>
      <c r="L24" s="250">
        <v>46.71</v>
      </c>
      <c r="M24" s="250"/>
      <c r="N24" s="250">
        <v>49.84</v>
      </c>
      <c r="O24" s="250"/>
      <c r="P24" s="250">
        <v>45.89</v>
      </c>
      <c r="Q24" s="250"/>
      <c r="R24" s="250">
        <v>47.24</v>
      </c>
      <c r="S24" s="27"/>
      <c r="T24" s="250">
        <v>53.44</v>
      </c>
      <c r="U24" s="251"/>
      <c r="V24" s="250">
        <v>1.1878060724779627</v>
      </c>
      <c r="W24" s="250"/>
      <c r="X24" s="250">
        <v>1.1274761127942206</v>
      </c>
      <c r="Y24" s="250"/>
      <c r="Z24" s="250">
        <v>1.1095205635082936</v>
      </c>
      <c r="AA24" s="250"/>
      <c r="AB24" s="250">
        <v>1.0487202514593623</v>
      </c>
      <c r="AC24" s="250"/>
      <c r="AD24" s="250">
        <v>1.0839495432796871</v>
      </c>
      <c r="AE24" s="250"/>
      <c r="AF24" s="250">
        <v>1.3512956419316844</v>
      </c>
      <c r="AG24" s="250"/>
      <c r="AH24" s="250">
        <v>2.3077674645823159</v>
      </c>
      <c r="AI24" s="80"/>
      <c r="AJ24" s="27">
        <v>2.5992217898832686</v>
      </c>
      <c r="AK24" s="80"/>
      <c r="AL24" s="250">
        <v>53.571428571428569</v>
      </c>
      <c r="AM24" s="250"/>
      <c r="AN24" s="250">
        <v>53.571428571428569</v>
      </c>
      <c r="AO24" s="250"/>
      <c r="AP24" s="250">
        <v>53.571428571428569</v>
      </c>
      <c r="AQ24" s="250"/>
      <c r="AR24" s="250">
        <v>53.571428571428569</v>
      </c>
      <c r="AS24" s="250"/>
      <c r="AT24" s="250">
        <v>53.571428571428569</v>
      </c>
      <c r="AU24" s="250"/>
      <c r="AV24" s="250">
        <v>53.571428571428569</v>
      </c>
      <c r="AW24" s="250"/>
      <c r="AX24" s="250">
        <v>53.571428571428569</v>
      </c>
      <c r="AY24" s="80"/>
      <c r="AZ24" s="27">
        <v>55.882352941176471</v>
      </c>
      <c r="BA24" s="80"/>
      <c r="BB24" s="250">
        <v>1.1538461538461537</v>
      </c>
      <c r="BC24" s="250"/>
      <c r="BD24" s="250">
        <v>1.25</v>
      </c>
      <c r="BE24" s="250"/>
      <c r="BF24" s="250">
        <v>1.25</v>
      </c>
      <c r="BG24" s="250"/>
      <c r="BH24" s="250">
        <v>1.3636363636363635</v>
      </c>
      <c r="BI24" s="250"/>
      <c r="BJ24" s="250">
        <v>1.1538461538461537</v>
      </c>
      <c r="BK24" s="250"/>
      <c r="BL24" s="250">
        <v>1.6666666666666667</v>
      </c>
      <c r="BM24" s="250"/>
      <c r="BN24" s="250">
        <v>2.5</v>
      </c>
      <c r="BO24" s="80"/>
      <c r="BP24" s="27">
        <v>2.7142857142857144</v>
      </c>
      <c r="BQ24" s="80"/>
    </row>
    <row r="25" spans="1:69" s="90" customFormat="1">
      <c r="A25" s="3" t="s">
        <v>716</v>
      </c>
      <c r="B25" s="3" t="s">
        <v>717</v>
      </c>
      <c r="C25" s="3">
        <v>11</v>
      </c>
      <c r="D25" s="3" t="s">
        <v>541</v>
      </c>
      <c r="E25" s="96">
        <v>1</v>
      </c>
      <c r="F25" s="250">
        <v>40.380000000000003</v>
      </c>
      <c r="G25" s="250"/>
      <c r="H25" s="250">
        <v>50.6</v>
      </c>
      <c r="I25" s="250"/>
      <c r="J25" s="250">
        <v>47.73</v>
      </c>
      <c r="K25" s="250"/>
      <c r="L25" s="250">
        <v>51.5</v>
      </c>
      <c r="M25" s="250"/>
      <c r="N25" s="250">
        <v>52.26</v>
      </c>
      <c r="O25" s="250"/>
      <c r="P25" s="250">
        <v>48.26</v>
      </c>
      <c r="Q25" s="250"/>
      <c r="R25" s="250">
        <v>52.34</v>
      </c>
      <c r="S25" s="27"/>
      <c r="T25" s="250">
        <v>46.37</v>
      </c>
      <c r="U25" s="251"/>
      <c r="V25" s="250">
        <v>1.2591206735266605</v>
      </c>
      <c r="W25" s="250"/>
      <c r="X25" s="250">
        <v>1.2275594371664242</v>
      </c>
      <c r="Y25" s="250"/>
      <c r="Z25" s="250">
        <v>1.6168699186991868</v>
      </c>
      <c r="AA25" s="250"/>
      <c r="AB25" s="250">
        <v>2.1020408163265305</v>
      </c>
      <c r="AC25" s="250"/>
      <c r="AD25" s="250">
        <v>1.2052583025830259</v>
      </c>
      <c r="AE25" s="250"/>
      <c r="AF25" s="250">
        <v>2</v>
      </c>
      <c r="AG25" s="250"/>
      <c r="AH25" s="250">
        <v>1.4710511523327714</v>
      </c>
      <c r="AI25" s="80"/>
      <c r="AJ25" s="27">
        <v>1.4623147272153894</v>
      </c>
      <c r="AK25" s="80"/>
      <c r="AL25" s="250">
        <v>42.857142857142854</v>
      </c>
      <c r="AM25" s="250"/>
      <c r="AN25" s="250">
        <v>57.142857142857139</v>
      </c>
      <c r="AO25" s="250"/>
      <c r="AP25" s="250">
        <v>52.380952380952387</v>
      </c>
      <c r="AQ25" s="250"/>
      <c r="AR25" s="250">
        <v>57.692307692307686</v>
      </c>
      <c r="AS25" s="250"/>
      <c r="AT25" s="250">
        <v>53.846153846153847</v>
      </c>
      <c r="AU25" s="250"/>
      <c r="AV25" s="250">
        <v>53.846153846153847</v>
      </c>
      <c r="AW25" s="250"/>
      <c r="AX25" s="250">
        <v>57.692307692307686</v>
      </c>
      <c r="AY25" s="80"/>
      <c r="AZ25" s="27">
        <v>53.333333333333336</v>
      </c>
      <c r="BA25" s="80"/>
      <c r="BB25" s="250">
        <v>1.2857142857142858</v>
      </c>
      <c r="BC25" s="250"/>
      <c r="BD25" s="250">
        <v>1.3333333333333333</v>
      </c>
      <c r="BE25" s="250"/>
      <c r="BF25" s="250">
        <v>1.8333333333333333</v>
      </c>
      <c r="BG25" s="250"/>
      <c r="BH25" s="250">
        <v>2.1428571428571428</v>
      </c>
      <c r="BI25" s="250"/>
      <c r="BJ25" s="250">
        <v>1.1666666666666667</v>
      </c>
      <c r="BK25" s="250"/>
      <c r="BL25" s="250"/>
      <c r="BM25" s="250"/>
      <c r="BN25" s="250">
        <v>1.5</v>
      </c>
      <c r="BO25" s="80"/>
      <c r="BP25" s="27">
        <v>1.6</v>
      </c>
    </row>
    <row r="26" spans="1:69" s="90" customFormat="1">
      <c r="A26" s="3" t="s">
        <v>620</v>
      </c>
      <c r="B26" s="3" t="s">
        <v>621</v>
      </c>
      <c r="C26" s="3">
        <v>15</v>
      </c>
      <c r="D26" s="3" t="s">
        <v>541</v>
      </c>
      <c r="E26" s="96">
        <v>1</v>
      </c>
      <c r="F26" s="250">
        <v>52.83</v>
      </c>
      <c r="G26" s="250"/>
      <c r="H26" s="250">
        <v>47.2</v>
      </c>
      <c r="I26" s="250"/>
      <c r="J26" s="250">
        <v>50.58</v>
      </c>
      <c r="K26" s="250"/>
      <c r="L26" s="250">
        <v>60.26</v>
      </c>
      <c r="M26" s="250"/>
      <c r="N26" s="250">
        <v>43.36</v>
      </c>
      <c r="O26" s="250"/>
      <c r="P26" s="250">
        <v>40.770000000000003</v>
      </c>
      <c r="Q26" s="250"/>
      <c r="R26" s="250">
        <v>37.590000000000003</v>
      </c>
      <c r="S26" s="27"/>
      <c r="T26" s="250">
        <v>29.6</v>
      </c>
      <c r="U26" s="251"/>
      <c r="V26" s="250">
        <v>2.4013636363636364</v>
      </c>
      <c r="W26" s="250"/>
      <c r="X26" s="250">
        <v>1.5854887470607997</v>
      </c>
      <c r="Y26" s="250"/>
      <c r="Z26" s="250">
        <v>1.7174872665534804</v>
      </c>
      <c r="AA26" s="250"/>
      <c r="AB26" s="250">
        <v>4.1616022099447507</v>
      </c>
      <c r="AC26" s="250"/>
      <c r="AD26" s="250">
        <v>1.1798639455782314</v>
      </c>
      <c r="AE26" s="250"/>
      <c r="AF26" s="250">
        <v>3.653225806451613</v>
      </c>
      <c r="AG26" s="250"/>
      <c r="AH26" s="250">
        <v>1.1710280373831776</v>
      </c>
      <c r="AI26" s="80"/>
      <c r="AJ26" s="27">
        <v>2.65947888589398</v>
      </c>
      <c r="AK26" s="80"/>
      <c r="AL26" s="250">
        <v>60</v>
      </c>
      <c r="AM26" s="250"/>
      <c r="AN26" s="250">
        <v>60</v>
      </c>
      <c r="AO26" s="250"/>
      <c r="AP26" s="250">
        <v>60</v>
      </c>
      <c r="AQ26" s="250"/>
      <c r="AR26" s="250">
        <v>62.857142857142854</v>
      </c>
      <c r="AS26" s="250"/>
      <c r="AT26" s="250">
        <v>45.714285714285715</v>
      </c>
      <c r="AU26" s="250"/>
      <c r="AV26" s="250">
        <v>48.571428571428569</v>
      </c>
      <c r="AW26" s="250"/>
      <c r="AX26" s="250">
        <v>42.857142857142854</v>
      </c>
      <c r="AY26" s="80"/>
      <c r="AZ26" s="27">
        <v>34.285714285714285</v>
      </c>
      <c r="BA26" s="80"/>
      <c r="BB26" s="250">
        <v>1.5</v>
      </c>
      <c r="BC26" s="250"/>
      <c r="BD26" s="250">
        <v>1.5</v>
      </c>
      <c r="BE26" s="250"/>
      <c r="BF26" s="250">
        <v>1.5</v>
      </c>
      <c r="BG26" s="250"/>
      <c r="BH26" s="250">
        <v>3.6666666666666665</v>
      </c>
      <c r="BI26" s="250"/>
      <c r="BJ26" s="250">
        <v>1.2307692307692308</v>
      </c>
      <c r="BK26" s="250"/>
      <c r="BL26" s="250">
        <v>3.4</v>
      </c>
      <c r="BM26" s="250"/>
      <c r="BN26" s="250">
        <v>1.1538461538461537</v>
      </c>
      <c r="BO26" s="80"/>
      <c r="BP26" s="27">
        <v>3</v>
      </c>
      <c r="BQ26" s="80"/>
    </row>
    <row r="27" spans="1:69" s="90" customFormat="1">
      <c r="A27" s="3" t="s">
        <v>622</v>
      </c>
      <c r="B27" s="3" t="s">
        <v>925</v>
      </c>
      <c r="C27" s="3">
        <v>16</v>
      </c>
      <c r="D27" s="3" t="s">
        <v>541</v>
      </c>
      <c r="E27" s="96">
        <v>1</v>
      </c>
      <c r="F27" s="250">
        <v>51.41</v>
      </c>
      <c r="G27" s="250"/>
      <c r="H27" s="250">
        <v>38.51</v>
      </c>
      <c r="I27" s="250"/>
      <c r="J27" s="250">
        <v>44.85</v>
      </c>
      <c r="K27" s="250"/>
      <c r="L27" s="250">
        <v>45.53</v>
      </c>
      <c r="M27" s="250"/>
      <c r="N27" s="250">
        <v>47.62</v>
      </c>
      <c r="O27" s="250"/>
      <c r="P27" s="250">
        <v>32.15</v>
      </c>
      <c r="Q27" s="250"/>
      <c r="R27" s="250">
        <v>40.39</v>
      </c>
      <c r="S27" s="27"/>
      <c r="T27" s="250">
        <v>50.13</v>
      </c>
      <c r="U27" s="251"/>
      <c r="V27" s="250">
        <v>1.394358557092487</v>
      </c>
      <c r="W27" s="250"/>
      <c r="X27" s="250">
        <v>1.1024906956770684</v>
      </c>
      <c r="Y27" s="250"/>
      <c r="Z27" s="250">
        <v>1.602357984994641</v>
      </c>
      <c r="AA27" s="250"/>
      <c r="AB27" s="250">
        <v>1.0263751127141569</v>
      </c>
      <c r="AC27" s="250"/>
      <c r="AD27" s="250">
        <v>1.1943817406571358</v>
      </c>
      <c r="AE27" s="250"/>
      <c r="AF27" s="250">
        <v>1.5093896713615023</v>
      </c>
      <c r="AG27" s="250"/>
      <c r="AH27" s="250">
        <v>1.1451658633399489</v>
      </c>
      <c r="AI27" s="80"/>
      <c r="AJ27" s="27">
        <v>2.1063025210084034</v>
      </c>
      <c r="AK27" s="80"/>
      <c r="AL27" s="250">
        <v>58.333333333333336</v>
      </c>
      <c r="AM27" s="250"/>
      <c r="AN27" s="250">
        <v>47.222222222222221</v>
      </c>
      <c r="AO27" s="250"/>
      <c r="AP27" s="250">
        <v>70.833333333333343</v>
      </c>
      <c r="AQ27" s="250"/>
      <c r="AR27" s="250">
        <v>47.368421052631575</v>
      </c>
      <c r="AS27" s="250"/>
      <c r="AT27" s="250">
        <v>52.631578947368418</v>
      </c>
      <c r="AU27" s="250"/>
      <c r="AV27" s="250">
        <v>36.84210526315789</v>
      </c>
      <c r="AW27" s="250"/>
      <c r="AX27" s="250">
        <v>47.368421052631575</v>
      </c>
      <c r="AY27" s="80"/>
      <c r="AZ27" s="27">
        <v>59.090909090909093</v>
      </c>
      <c r="BA27" s="80"/>
      <c r="BB27" s="250">
        <v>1.4</v>
      </c>
      <c r="BC27" s="250"/>
      <c r="BD27" s="250">
        <v>1.4166666666666667</v>
      </c>
      <c r="BE27" s="250"/>
      <c r="BF27" s="250">
        <v>2.8333333333333335</v>
      </c>
      <c r="BG27" s="250"/>
      <c r="BH27" s="250">
        <v>1</v>
      </c>
      <c r="BI27" s="250"/>
      <c r="BJ27" s="250">
        <v>1.25</v>
      </c>
      <c r="BK27" s="250"/>
      <c r="BL27" s="250">
        <v>1.4</v>
      </c>
      <c r="BM27" s="250"/>
      <c r="BN27" s="250">
        <v>1.2857142857142858</v>
      </c>
      <c r="BO27" s="80"/>
      <c r="BP27" s="27">
        <v>2.1666666666666665</v>
      </c>
      <c r="BQ27" s="80"/>
    </row>
    <row r="28" spans="1:69" s="90" customFormat="1">
      <c r="A28" s="3" t="s">
        <v>928</v>
      </c>
      <c r="B28" s="3" t="s">
        <v>929</v>
      </c>
      <c r="C28" s="3">
        <v>18</v>
      </c>
      <c r="D28" s="3" t="s">
        <v>713</v>
      </c>
      <c r="E28" s="96">
        <v>1</v>
      </c>
      <c r="F28" s="250">
        <v>36.97</v>
      </c>
      <c r="G28" s="250"/>
      <c r="H28" s="250">
        <v>43.57</v>
      </c>
      <c r="I28" s="250"/>
      <c r="J28" s="250">
        <v>31.84</v>
      </c>
      <c r="K28" s="250"/>
      <c r="L28" s="250">
        <v>48.22</v>
      </c>
      <c r="M28" s="250"/>
      <c r="N28" s="250">
        <v>54.44</v>
      </c>
      <c r="O28" s="250"/>
      <c r="P28" s="250">
        <v>36.56</v>
      </c>
      <c r="Q28" s="250"/>
      <c r="R28" s="250">
        <v>51.12</v>
      </c>
      <c r="S28" s="27"/>
      <c r="T28" s="250">
        <v>62.87</v>
      </c>
      <c r="U28" s="251"/>
      <c r="V28" s="250">
        <v>1.243943472409152</v>
      </c>
      <c r="W28" s="250"/>
      <c r="X28" s="250">
        <v>1.8984749455337691</v>
      </c>
      <c r="Y28" s="250"/>
      <c r="Z28" s="250">
        <v>1.1168011224131882</v>
      </c>
      <c r="AA28" s="250"/>
      <c r="AB28" s="250">
        <v>1.8327632079057392</v>
      </c>
      <c r="AC28" s="250"/>
      <c r="AD28" s="250">
        <v>1.255824682814302</v>
      </c>
      <c r="AE28" s="250"/>
      <c r="AF28" s="250">
        <v>1.2747559274755929</v>
      </c>
      <c r="AG28" s="250"/>
      <c r="AH28" s="250">
        <v>2.2460456942003511</v>
      </c>
      <c r="AI28" s="80"/>
      <c r="AJ28" s="27">
        <v>2.6217681401167638</v>
      </c>
      <c r="AK28" s="80"/>
      <c r="AL28" s="250">
        <v>86.666666666666671</v>
      </c>
      <c r="AM28" s="250"/>
      <c r="AN28" s="250">
        <v>41.860465116279073</v>
      </c>
      <c r="AO28" s="250"/>
      <c r="AP28" s="250">
        <v>34.782608695652172</v>
      </c>
      <c r="AQ28" s="250"/>
      <c r="AR28" s="250">
        <v>78.94736842105263</v>
      </c>
      <c r="AS28" s="250"/>
      <c r="AT28" s="250">
        <v>57.692307692307686</v>
      </c>
      <c r="AU28" s="250"/>
      <c r="AV28" s="250">
        <v>46.666666666666664</v>
      </c>
      <c r="AW28" s="250"/>
      <c r="AX28" s="250">
        <v>73.333333333333329</v>
      </c>
      <c r="AY28" s="80"/>
      <c r="AZ28" s="27">
        <v>66.666666666666657</v>
      </c>
      <c r="BA28" s="80"/>
      <c r="BB28" s="250">
        <v>6.5</v>
      </c>
      <c r="BC28" s="250"/>
      <c r="BD28" s="250">
        <v>1.5</v>
      </c>
      <c r="BE28" s="250"/>
      <c r="BF28" s="250">
        <v>1.1428571428571428</v>
      </c>
      <c r="BG28" s="250"/>
      <c r="BH28" s="250">
        <v>7.5</v>
      </c>
      <c r="BI28" s="250"/>
      <c r="BJ28" s="250">
        <v>1.3636363636363635</v>
      </c>
      <c r="BK28" s="250"/>
      <c r="BL28" s="250">
        <v>1.4</v>
      </c>
      <c r="BM28" s="250"/>
      <c r="BN28" s="250">
        <v>2.75</v>
      </c>
      <c r="BO28" s="80"/>
      <c r="BP28" s="27">
        <v>3.3333333333333335</v>
      </c>
      <c r="BQ28" s="80"/>
    </row>
    <row r="29" spans="1:69" s="90" customFormat="1">
      <c r="A29" s="3" t="s">
        <v>660</v>
      </c>
      <c r="B29" s="3" t="s">
        <v>661</v>
      </c>
      <c r="C29" s="3">
        <v>20</v>
      </c>
      <c r="D29" s="3" t="s">
        <v>541</v>
      </c>
      <c r="E29" s="96">
        <v>1</v>
      </c>
      <c r="F29" s="250">
        <v>53.98</v>
      </c>
      <c r="G29" s="250">
        <v>47.28</v>
      </c>
      <c r="H29" s="250">
        <v>49.35</v>
      </c>
      <c r="I29" s="250">
        <v>52.14</v>
      </c>
      <c r="J29" s="250">
        <v>57.93</v>
      </c>
      <c r="K29" s="250">
        <v>59.64</v>
      </c>
      <c r="L29" s="250">
        <v>56.9</v>
      </c>
      <c r="M29" s="250">
        <v>53.57</v>
      </c>
      <c r="N29" s="250">
        <v>51.71</v>
      </c>
      <c r="O29" s="250"/>
      <c r="P29" s="250">
        <v>63.43</v>
      </c>
      <c r="Q29" s="250"/>
      <c r="R29" s="250">
        <v>60.18</v>
      </c>
      <c r="S29" s="27"/>
      <c r="T29" s="250">
        <v>62.24</v>
      </c>
      <c r="U29" s="251"/>
      <c r="V29" s="250">
        <v>1.3676209779579427</v>
      </c>
      <c r="W29" s="250">
        <v>1.2248704663212435</v>
      </c>
      <c r="X29" s="250">
        <v>1.0446655376799323</v>
      </c>
      <c r="Y29" s="250">
        <v>2.7170401250651381</v>
      </c>
      <c r="Z29" s="250">
        <v>1.6299943725379853</v>
      </c>
      <c r="AA29" s="250">
        <v>1.7883058470764617</v>
      </c>
      <c r="AB29" s="250">
        <v>1.4136645962732919</v>
      </c>
      <c r="AC29" s="250">
        <v>1.6766823161189359</v>
      </c>
      <c r="AD29" s="250">
        <v>1.116123462119577</v>
      </c>
      <c r="AE29" s="250"/>
      <c r="AF29" s="250">
        <v>3.1215551181102361</v>
      </c>
      <c r="AG29" s="250"/>
      <c r="AH29" s="250">
        <v>2.5264483627204029</v>
      </c>
      <c r="AI29" s="80"/>
      <c r="AJ29" s="27">
        <v>2.6735395189003435</v>
      </c>
      <c r="AK29" s="80"/>
      <c r="AL29" s="250">
        <v>54.166666666666664</v>
      </c>
      <c r="AM29" s="250">
        <v>50</v>
      </c>
      <c r="AN29" s="250">
        <v>50</v>
      </c>
      <c r="AO29" s="250">
        <v>58.333333333333336</v>
      </c>
      <c r="AP29" s="250">
        <v>66.666666666666657</v>
      </c>
      <c r="AQ29" s="250">
        <v>66.666666666666657</v>
      </c>
      <c r="AR29" s="250">
        <v>58.333333333333336</v>
      </c>
      <c r="AS29" s="250">
        <v>58.333333333333336</v>
      </c>
      <c r="AT29" s="250">
        <v>66.666666666666657</v>
      </c>
      <c r="AU29" s="250"/>
      <c r="AV29" s="250">
        <v>80</v>
      </c>
      <c r="AW29" s="250"/>
      <c r="AX29" s="250">
        <v>70</v>
      </c>
      <c r="AY29" s="80"/>
      <c r="AZ29" s="27">
        <v>80</v>
      </c>
      <c r="BA29" s="80"/>
      <c r="BB29" s="250">
        <v>1.3</v>
      </c>
      <c r="BC29" s="250">
        <v>1.2</v>
      </c>
      <c r="BD29" s="250">
        <v>1</v>
      </c>
      <c r="BE29" s="250">
        <v>1.4</v>
      </c>
      <c r="BF29" s="250">
        <v>2</v>
      </c>
      <c r="BG29" s="250">
        <v>2</v>
      </c>
      <c r="BH29" s="250">
        <v>1.4</v>
      </c>
      <c r="BI29" s="250">
        <v>1.75</v>
      </c>
      <c r="BJ29" s="250">
        <v>2</v>
      </c>
      <c r="BK29" s="250"/>
      <c r="BL29" s="250">
        <v>4</v>
      </c>
      <c r="BM29" s="250"/>
      <c r="BN29" s="250">
        <v>3.5</v>
      </c>
      <c r="BO29" s="80"/>
      <c r="BP29" s="27">
        <v>4</v>
      </c>
      <c r="BQ29" s="80"/>
    </row>
    <row r="30" spans="1:69" s="90" customFormat="1">
      <c r="A30" s="3" t="s">
        <v>80</v>
      </c>
      <c r="B30" s="3" t="s">
        <v>747</v>
      </c>
      <c r="C30" s="3">
        <v>21</v>
      </c>
      <c r="D30" s="3" t="s">
        <v>759</v>
      </c>
      <c r="E30" s="96">
        <v>1</v>
      </c>
      <c r="F30" s="250">
        <v>41.07</v>
      </c>
      <c r="G30" s="250"/>
      <c r="H30" s="250">
        <v>42.82</v>
      </c>
      <c r="I30" s="250"/>
      <c r="J30" s="250">
        <v>44.32</v>
      </c>
      <c r="K30" s="250"/>
      <c r="L30" s="250">
        <v>52.09</v>
      </c>
      <c r="M30" s="250"/>
      <c r="N30" s="250">
        <v>54.14</v>
      </c>
      <c r="O30" s="250"/>
      <c r="P30" s="250">
        <v>51.01</v>
      </c>
      <c r="Q30" s="250"/>
      <c r="R30" s="250">
        <v>50.3</v>
      </c>
      <c r="S30" s="27"/>
      <c r="T30" s="250">
        <v>38.119999999999997</v>
      </c>
      <c r="U30" s="251"/>
      <c r="V30" s="250">
        <v>1.0165841584158417</v>
      </c>
      <c r="W30" s="250"/>
      <c r="X30" s="250">
        <v>1.5475243946512467</v>
      </c>
      <c r="Y30" s="250"/>
      <c r="Z30" s="250">
        <v>1.1393316195372751</v>
      </c>
      <c r="AA30" s="250"/>
      <c r="AB30" s="250">
        <v>1.1435784851811197</v>
      </c>
      <c r="AC30" s="250"/>
      <c r="AD30" s="250">
        <v>1.2232263895164934</v>
      </c>
      <c r="AE30" s="250"/>
      <c r="AF30" s="250">
        <v>1.4512091038406827</v>
      </c>
      <c r="AG30" s="250"/>
      <c r="AH30" s="250">
        <v>1.1981896141019532</v>
      </c>
      <c r="AI30" s="80"/>
      <c r="AJ30" s="27">
        <v>1.0553709856035438</v>
      </c>
      <c r="AK30" s="80"/>
      <c r="AL30" s="250">
        <v>56.000000000000007</v>
      </c>
      <c r="AM30" s="250"/>
      <c r="AN30" s="250">
        <v>56.000000000000007</v>
      </c>
      <c r="AO30" s="250"/>
      <c r="AP30" s="250">
        <v>56.000000000000007</v>
      </c>
      <c r="AQ30" s="250"/>
      <c r="AR30" s="250">
        <v>56.000000000000007</v>
      </c>
      <c r="AS30" s="250"/>
      <c r="AT30" s="250">
        <v>56.000000000000007</v>
      </c>
      <c r="AU30" s="250"/>
      <c r="AV30" s="250">
        <v>56.000000000000007</v>
      </c>
      <c r="AW30" s="250"/>
      <c r="AX30" s="250">
        <v>56.000000000000007</v>
      </c>
      <c r="AY30" s="80"/>
      <c r="AZ30" s="27">
        <v>56.000000000000007</v>
      </c>
      <c r="BA30" s="80"/>
      <c r="BB30" s="250">
        <v>1.5555555555555556</v>
      </c>
      <c r="BC30" s="250"/>
      <c r="BD30" s="250">
        <v>2.1538461538461537</v>
      </c>
      <c r="BE30" s="250"/>
      <c r="BF30" s="250">
        <v>1.6470588235294117</v>
      </c>
      <c r="BG30" s="250"/>
      <c r="BH30" s="250">
        <v>1.2727272727272727</v>
      </c>
      <c r="BI30" s="250"/>
      <c r="BJ30" s="250">
        <v>1.2727272727272727</v>
      </c>
      <c r="BK30" s="250"/>
      <c r="BL30" s="250">
        <v>1.5555555555555556</v>
      </c>
      <c r="BM30" s="250"/>
      <c r="BN30" s="250">
        <v>1.2727272727272727</v>
      </c>
      <c r="BO30" s="80"/>
      <c r="BP30" s="27">
        <v>1.8666666666666667</v>
      </c>
      <c r="BQ30" s="80"/>
    </row>
    <row r="31" spans="1:69" s="90" customFormat="1">
      <c r="A31" s="3" t="s">
        <v>723</v>
      </c>
      <c r="B31" s="3" t="s">
        <v>724</v>
      </c>
      <c r="C31" s="3">
        <v>23</v>
      </c>
      <c r="D31" s="3" t="s">
        <v>541</v>
      </c>
      <c r="E31" s="96">
        <v>1</v>
      </c>
      <c r="F31" s="250">
        <v>35.22</v>
      </c>
      <c r="G31" s="250">
        <v>42.22</v>
      </c>
      <c r="H31" s="250"/>
      <c r="I31" s="250">
        <v>40</v>
      </c>
      <c r="J31" s="250"/>
      <c r="K31" s="250"/>
      <c r="L31" s="250">
        <v>40.06</v>
      </c>
      <c r="M31" s="250"/>
      <c r="N31" s="250">
        <v>32.46</v>
      </c>
      <c r="O31" s="250"/>
      <c r="P31" s="250">
        <v>25.52</v>
      </c>
      <c r="Q31" s="250"/>
      <c r="R31" s="250">
        <v>24.32</v>
      </c>
      <c r="S31" s="27"/>
      <c r="T31" s="250">
        <v>13.09</v>
      </c>
      <c r="U31" s="251"/>
      <c r="V31" s="250">
        <v>1.0144009216589862</v>
      </c>
      <c r="W31" s="250">
        <v>1.490819209039548</v>
      </c>
      <c r="X31" s="250"/>
      <c r="Y31" s="250">
        <v>1.3731548232063167</v>
      </c>
      <c r="Z31" s="250"/>
      <c r="AA31" s="250"/>
      <c r="AB31" s="250">
        <v>1.2421705426356591</v>
      </c>
      <c r="AC31" s="250"/>
      <c r="AD31" s="250">
        <v>1.0124766063630692</v>
      </c>
      <c r="AE31" s="250"/>
      <c r="AF31" s="250">
        <v>1.268389662027833</v>
      </c>
      <c r="AG31" s="250"/>
      <c r="AH31" s="250">
        <v>1.4730466384009691</v>
      </c>
      <c r="AI31" s="80"/>
      <c r="AJ31" s="27">
        <v>1.0139426800929512</v>
      </c>
      <c r="AK31" s="80"/>
      <c r="AL31" s="250">
        <v>40</v>
      </c>
      <c r="AM31" s="250">
        <v>46.666666666666664</v>
      </c>
      <c r="AN31" s="250"/>
      <c r="AO31" s="27">
        <v>46.666666666666664</v>
      </c>
      <c r="AP31" s="250">
        <v>46.666666666666664</v>
      </c>
      <c r="AQ31" s="250"/>
      <c r="AR31" s="250">
        <v>46.666666666666664</v>
      </c>
      <c r="AS31" s="250"/>
      <c r="AT31" s="250">
        <v>40</v>
      </c>
      <c r="AU31" s="250"/>
      <c r="AV31" s="250">
        <v>33.333333333333329</v>
      </c>
      <c r="AW31" s="250"/>
      <c r="AX31" s="250">
        <v>40</v>
      </c>
      <c r="AY31" s="80"/>
      <c r="AZ31" s="27">
        <v>20</v>
      </c>
      <c r="BA31" s="80"/>
      <c r="BB31" s="250">
        <v>1</v>
      </c>
      <c r="BC31" s="250">
        <v>1.4</v>
      </c>
      <c r="BD31" s="250">
        <v>1.4</v>
      </c>
      <c r="BE31" s="250">
        <v>1.4</v>
      </c>
      <c r="BF31" s="250"/>
      <c r="BG31" s="250"/>
      <c r="BH31" s="250">
        <v>1.4</v>
      </c>
      <c r="BI31" s="250"/>
      <c r="BJ31" s="250">
        <v>1.2</v>
      </c>
      <c r="BK31" s="250"/>
      <c r="BL31" s="250">
        <v>1.25</v>
      </c>
      <c r="BM31" s="250"/>
      <c r="BN31" s="250">
        <v>1.5</v>
      </c>
      <c r="BO31" s="80"/>
      <c r="BP31" s="27">
        <v>1</v>
      </c>
      <c r="BQ31" s="80"/>
    </row>
    <row r="32" spans="1:69" s="90" customFormat="1">
      <c r="A32" s="3" t="s">
        <v>725</v>
      </c>
      <c r="B32" s="3" t="s">
        <v>726</v>
      </c>
      <c r="C32" s="3">
        <v>24</v>
      </c>
      <c r="D32" s="3" t="s">
        <v>664</v>
      </c>
      <c r="E32" s="96">
        <v>1</v>
      </c>
      <c r="F32" s="250">
        <v>51.37</v>
      </c>
      <c r="G32" s="250">
        <v>44.57</v>
      </c>
      <c r="H32" s="250">
        <v>34.18</v>
      </c>
      <c r="I32" s="250">
        <v>47.81</v>
      </c>
      <c r="J32" s="250">
        <v>46.23</v>
      </c>
      <c r="K32" s="250"/>
      <c r="L32" s="250">
        <v>43.14</v>
      </c>
      <c r="M32" s="250"/>
      <c r="N32" s="250">
        <v>45.09</v>
      </c>
      <c r="O32" s="250"/>
      <c r="P32" s="250">
        <v>56.7</v>
      </c>
      <c r="Q32" s="250"/>
      <c r="R32" s="250">
        <v>39.46</v>
      </c>
      <c r="S32" s="27"/>
      <c r="T32" s="250">
        <v>31.46</v>
      </c>
      <c r="U32" s="251"/>
      <c r="V32" s="250">
        <v>1.3932736642256578</v>
      </c>
      <c r="W32" s="250">
        <v>1.0154932786511734</v>
      </c>
      <c r="X32" s="250">
        <v>1.2543119266055045</v>
      </c>
      <c r="Y32" s="250">
        <v>1.2512431300706621</v>
      </c>
      <c r="Z32" s="250">
        <v>1.0603211009174311</v>
      </c>
      <c r="AA32" s="250"/>
      <c r="AB32" s="250">
        <v>1.1668920746551259</v>
      </c>
      <c r="AC32" s="250"/>
      <c r="AD32" s="250">
        <v>1.4935409075852932</v>
      </c>
      <c r="AE32" s="250"/>
      <c r="AF32" s="250">
        <v>2.4303471924560656</v>
      </c>
      <c r="AG32" s="250"/>
      <c r="AH32" s="250">
        <v>7.1876138433515484</v>
      </c>
      <c r="AI32" s="80"/>
      <c r="AJ32" s="27">
        <v>3.7452380952380953</v>
      </c>
      <c r="AK32" s="80"/>
      <c r="AL32" s="250">
        <v>55.000000000000007</v>
      </c>
      <c r="AM32" s="250">
        <v>55.000000000000007</v>
      </c>
      <c r="AN32" s="250">
        <v>35</v>
      </c>
      <c r="AO32" s="250"/>
      <c r="AP32" s="250">
        <v>50</v>
      </c>
      <c r="AQ32" s="250"/>
      <c r="AR32" s="250">
        <v>47.5</v>
      </c>
      <c r="AS32" s="250"/>
      <c r="AT32" s="250">
        <v>50</v>
      </c>
      <c r="AU32" s="250"/>
      <c r="AV32" s="250">
        <v>65</v>
      </c>
      <c r="AW32" s="250"/>
      <c r="AX32" s="250">
        <v>55.102040816326522</v>
      </c>
      <c r="AY32" s="80"/>
      <c r="AZ32" s="27">
        <v>44.897959183673471</v>
      </c>
      <c r="BA32" s="80"/>
      <c r="BB32" s="250">
        <v>1.375</v>
      </c>
      <c r="BC32" s="250">
        <v>1.2222222222222223</v>
      </c>
      <c r="BD32" s="250">
        <v>1.1666666666666667</v>
      </c>
      <c r="BE32" s="250"/>
      <c r="BF32" s="250">
        <v>1.1111111111111112</v>
      </c>
      <c r="BG32" s="250"/>
      <c r="BH32" s="250">
        <v>1.2666666666666666</v>
      </c>
      <c r="BI32" s="250"/>
      <c r="BJ32" s="250">
        <v>1.6666666666666667</v>
      </c>
      <c r="BK32" s="250"/>
      <c r="BL32" s="250">
        <v>3.25</v>
      </c>
      <c r="BM32" s="250"/>
      <c r="BN32" s="250">
        <v>9</v>
      </c>
      <c r="BO32" s="80"/>
      <c r="BP32" s="27">
        <v>5.5</v>
      </c>
      <c r="BQ32" s="80"/>
    </row>
    <row r="33" spans="1:69">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row>
    <row r="34" spans="1:69">
      <c r="A34" s="3" t="s">
        <v>727</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row>
    <row r="35" spans="1:69" ht="121">
      <c r="A35" s="7" t="s">
        <v>728</v>
      </c>
      <c r="B35" s="7"/>
      <c r="C35" s="7"/>
      <c r="D35" s="7"/>
      <c r="E35" s="7"/>
      <c r="F35" s="7" t="s">
        <v>1547</v>
      </c>
      <c r="G35" s="7" t="s">
        <v>97</v>
      </c>
      <c r="H35" s="7" t="s">
        <v>1511</v>
      </c>
      <c r="I35" s="7" t="s">
        <v>1511</v>
      </c>
      <c r="J35" s="7" t="s">
        <v>1511</v>
      </c>
      <c r="K35" s="7" t="s">
        <v>1511</v>
      </c>
      <c r="L35" s="7" t="s">
        <v>1511</v>
      </c>
      <c r="M35" s="7" t="s">
        <v>1511</v>
      </c>
      <c r="N35" s="7" t="s">
        <v>1511</v>
      </c>
      <c r="O35" s="7" t="s">
        <v>1511</v>
      </c>
      <c r="P35" s="7" t="s">
        <v>1511</v>
      </c>
      <c r="Q35" s="7" t="s">
        <v>1511</v>
      </c>
      <c r="R35" s="7" t="s">
        <v>1511</v>
      </c>
      <c r="S35" s="7" t="s">
        <v>1905</v>
      </c>
      <c r="T35" s="7" t="s">
        <v>2895</v>
      </c>
      <c r="U35" s="7" t="s">
        <v>2895</v>
      </c>
      <c r="V35" s="7" t="s">
        <v>1511</v>
      </c>
      <c r="W35" s="7" t="s">
        <v>76</v>
      </c>
      <c r="X35" s="7" t="s">
        <v>1511</v>
      </c>
      <c r="Y35" s="7" t="s">
        <v>1511</v>
      </c>
      <c r="Z35" s="7" t="s">
        <v>1511</v>
      </c>
      <c r="AA35" s="7" t="s">
        <v>1511</v>
      </c>
      <c r="AB35" s="7" t="s">
        <v>1511</v>
      </c>
      <c r="AC35" s="7" t="s">
        <v>1511</v>
      </c>
      <c r="AD35" s="7" t="s">
        <v>1511</v>
      </c>
      <c r="AE35" s="7" t="s">
        <v>1511</v>
      </c>
      <c r="AF35" s="7" t="s">
        <v>1511</v>
      </c>
      <c r="AG35" s="7" t="s">
        <v>2905</v>
      </c>
      <c r="AH35" s="7" t="s">
        <v>2907</v>
      </c>
      <c r="AI35" s="7" t="s">
        <v>2907</v>
      </c>
      <c r="AJ35" s="7" t="s">
        <v>2907</v>
      </c>
      <c r="AK35" s="7" t="s">
        <v>2907</v>
      </c>
      <c r="AL35" s="7" t="s">
        <v>1511</v>
      </c>
      <c r="AM35" s="7" t="s">
        <v>1511</v>
      </c>
      <c r="AN35" s="7" t="s">
        <v>1511</v>
      </c>
      <c r="AO35" s="7" t="s">
        <v>1511</v>
      </c>
      <c r="AP35" s="7" t="s">
        <v>1511</v>
      </c>
      <c r="AQ35" s="7" t="s">
        <v>1511</v>
      </c>
      <c r="AR35" s="7" t="s">
        <v>1511</v>
      </c>
      <c r="AS35" s="7" t="s">
        <v>1511</v>
      </c>
      <c r="AT35" s="7" t="s">
        <v>1511</v>
      </c>
      <c r="AU35" s="7" t="s">
        <v>1511</v>
      </c>
      <c r="AV35" s="7" t="s">
        <v>1511</v>
      </c>
      <c r="AW35" s="7" t="s">
        <v>1511</v>
      </c>
      <c r="AX35" s="7" t="s">
        <v>2895</v>
      </c>
      <c r="AY35" s="7" t="s">
        <v>2895</v>
      </c>
      <c r="AZ35" s="7" t="s">
        <v>2895</v>
      </c>
      <c r="BA35" s="7" t="s">
        <v>2895</v>
      </c>
      <c r="BB35" s="7" t="s">
        <v>1511</v>
      </c>
      <c r="BC35" s="7" t="s">
        <v>89</v>
      </c>
      <c r="BD35" s="7" t="s">
        <v>1511</v>
      </c>
      <c r="BE35" s="7" t="s">
        <v>1511</v>
      </c>
      <c r="BF35" s="7" t="s">
        <v>1511</v>
      </c>
      <c r="BG35" s="7" t="s">
        <v>1511</v>
      </c>
      <c r="BH35" s="7" t="s">
        <v>1511</v>
      </c>
      <c r="BI35" s="7" t="s">
        <v>1511</v>
      </c>
      <c r="BJ35" s="7" t="s">
        <v>1511</v>
      </c>
      <c r="BK35" s="7" t="s">
        <v>1511</v>
      </c>
      <c r="BL35" s="7" t="s">
        <v>1511</v>
      </c>
      <c r="BM35" s="7" t="s">
        <v>1511</v>
      </c>
      <c r="BN35" s="7" t="s">
        <v>1511</v>
      </c>
      <c r="BO35" s="7" t="s">
        <v>2907</v>
      </c>
      <c r="BP35" s="7" t="s">
        <v>2907</v>
      </c>
      <c r="BQ35" s="7" t="s">
        <v>2907</v>
      </c>
    </row>
    <row r="36" spans="1:69" ht="385">
      <c r="A36" s="7"/>
      <c r="B36" s="7"/>
      <c r="C36" s="7"/>
      <c r="D36" s="7"/>
      <c r="E36" s="7"/>
      <c r="F36" s="1"/>
      <c r="G36" s="1" t="s">
        <v>90</v>
      </c>
      <c r="H36" s="1"/>
      <c r="I36" s="1"/>
      <c r="J36" s="1"/>
      <c r="K36" s="1" t="s">
        <v>3645</v>
      </c>
      <c r="L36" s="1"/>
      <c r="M36" s="1"/>
      <c r="N36" s="1"/>
      <c r="O36" s="1" t="s">
        <v>3646</v>
      </c>
      <c r="P36" s="1"/>
      <c r="Q36" s="1"/>
      <c r="R36" s="1" t="s">
        <v>1909</v>
      </c>
      <c r="S36" s="1" t="s">
        <v>1910</v>
      </c>
      <c r="T36" s="1" t="s">
        <v>1916</v>
      </c>
      <c r="U36" s="1"/>
      <c r="V36" s="1" t="s">
        <v>405</v>
      </c>
      <c r="W36" s="1" t="s">
        <v>63</v>
      </c>
      <c r="X36" s="1"/>
      <c r="Y36" s="1"/>
      <c r="Z36" s="1"/>
      <c r="AA36" s="1" t="s">
        <v>3645</v>
      </c>
      <c r="AB36" s="1"/>
      <c r="AC36" s="1"/>
      <c r="AD36" s="1"/>
      <c r="AE36" s="1" t="s">
        <v>3646</v>
      </c>
      <c r="AF36" s="1"/>
      <c r="AG36" s="1"/>
      <c r="AH36" s="1" t="s">
        <v>2906</v>
      </c>
      <c r="AI36" s="1"/>
      <c r="AJ36" s="1"/>
      <c r="AK36" s="1"/>
      <c r="AL36" s="1"/>
      <c r="AM36" s="1"/>
      <c r="AN36" s="1" t="s">
        <v>3638</v>
      </c>
      <c r="AO36" s="1"/>
      <c r="AQ36" s="1" t="s">
        <v>3635</v>
      </c>
      <c r="AR36" s="1" t="s">
        <v>3647</v>
      </c>
      <c r="AS36" s="1" t="s">
        <v>3637</v>
      </c>
      <c r="AT36" s="1" t="s">
        <v>3648</v>
      </c>
      <c r="AU36" s="1" t="s">
        <v>3636</v>
      </c>
      <c r="AV36" s="1" t="s">
        <v>3632</v>
      </c>
      <c r="AW36" s="1"/>
      <c r="AX36" s="1" t="s">
        <v>2903</v>
      </c>
      <c r="AY36" s="1" t="s">
        <v>3640</v>
      </c>
      <c r="AZ36" s="1" t="s">
        <v>3641</v>
      </c>
      <c r="BA36" s="1" t="s">
        <v>3634</v>
      </c>
      <c r="BB36" s="1"/>
      <c r="BC36" s="1"/>
      <c r="BD36" s="1" t="s">
        <v>3633</v>
      </c>
      <c r="BE36" s="1"/>
      <c r="BF36" s="1"/>
      <c r="BG36" s="1" t="s">
        <v>3635</v>
      </c>
      <c r="BH36" s="1" t="s">
        <v>3647</v>
      </c>
      <c r="BI36" s="1" t="s">
        <v>3637</v>
      </c>
      <c r="BJ36" s="1" t="s">
        <v>3648</v>
      </c>
      <c r="BK36" s="1" t="s">
        <v>3636</v>
      </c>
      <c r="BL36" s="1" t="s">
        <v>3632</v>
      </c>
      <c r="BM36" s="1"/>
      <c r="BN36" s="1"/>
      <c r="BO36" s="1" t="s">
        <v>3640</v>
      </c>
      <c r="BP36" s="1" t="s">
        <v>3642</v>
      </c>
      <c r="BQ36" s="1" t="s">
        <v>3634</v>
      </c>
    </row>
  </sheetData>
  <sortState ref="A9:BQ32">
    <sortCondition ref="E9:E32"/>
  </sortState>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A8" workbookViewId="0">
      <pane xSplit="17580" topLeftCell="L1"/>
      <selection activeCell="S37" sqref="S37"/>
      <selection pane="topRight" activeCell="L8" sqref="L8"/>
    </sheetView>
  </sheetViews>
  <sheetFormatPr baseColWidth="10" defaultRowHeight="13" x14ac:dyDescent="0"/>
  <cols>
    <col min="1" max="1" width="15.140625" style="3" customWidth="1"/>
    <col min="2" max="3" width="5.7109375" style="3" customWidth="1"/>
    <col min="4" max="17" width="10.7109375" style="3"/>
  </cols>
  <sheetData>
    <row r="1" spans="1:20">
      <c r="A1" s="184" t="s">
        <v>2404</v>
      </c>
    </row>
    <row r="2" spans="1:20">
      <c r="A2" s="1" t="s">
        <v>614</v>
      </c>
      <c r="B2" s="1"/>
      <c r="C2" s="1"/>
      <c r="D2" s="1"/>
      <c r="E2" s="1" t="s">
        <v>1309</v>
      </c>
      <c r="F2" s="1" t="s">
        <v>1309</v>
      </c>
      <c r="G2" s="1" t="s">
        <v>1309</v>
      </c>
      <c r="H2" s="1" t="s">
        <v>1309</v>
      </c>
      <c r="I2" s="1" t="s">
        <v>1309</v>
      </c>
      <c r="J2" s="1" t="s">
        <v>1309</v>
      </c>
      <c r="K2" s="1" t="s">
        <v>1309</v>
      </c>
      <c r="L2" s="1" t="s">
        <v>1309</v>
      </c>
      <c r="M2" s="1" t="s">
        <v>1309</v>
      </c>
      <c r="N2" s="1" t="s">
        <v>1309</v>
      </c>
      <c r="O2" s="1" t="s">
        <v>1309</v>
      </c>
      <c r="P2" s="1" t="s">
        <v>1309</v>
      </c>
      <c r="Q2" s="1" t="s">
        <v>1309</v>
      </c>
      <c r="R2" s="1" t="s">
        <v>1309</v>
      </c>
      <c r="S2" s="1" t="s">
        <v>1309</v>
      </c>
      <c r="T2" s="1" t="s">
        <v>1309</v>
      </c>
    </row>
    <row r="3" spans="1:20">
      <c r="A3" s="1" t="s">
        <v>518</v>
      </c>
      <c r="B3" s="1"/>
      <c r="C3" s="1"/>
      <c r="D3" s="1"/>
      <c r="E3" s="1" t="s">
        <v>1487</v>
      </c>
      <c r="F3" s="1" t="s">
        <v>1487</v>
      </c>
      <c r="G3" s="1" t="s">
        <v>1487</v>
      </c>
      <c r="H3" s="1" t="s">
        <v>1487</v>
      </c>
      <c r="I3" s="1" t="s">
        <v>1487</v>
      </c>
      <c r="J3" s="1" t="s">
        <v>1487</v>
      </c>
      <c r="K3" s="1" t="s">
        <v>1487</v>
      </c>
      <c r="L3" s="1" t="s">
        <v>1487</v>
      </c>
      <c r="M3" s="1" t="s">
        <v>1487</v>
      </c>
      <c r="N3" s="1" t="s">
        <v>1487</v>
      </c>
      <c r="O3" s="1" t="s">
        <v>1487</v>
      </c>
      <c r="P3" s="1" t="s">
        <v>1487</v>
      </c>
      <c r="Q3" s="1" t="s">
        <v>1487</v>
      </c>
      <c r="R3" s="1" t="s">
        <v>1487</v>
      </c>
      <c r="S3" s="1" t="s">
        <v>1487</v>
      </c>
      <c r="T3" s="1" t="s">
        <v>1487</v>
      </c>
    </row>
    <row r="4" spans="1:20">
      <c r="A4" s="1" t="s">
        <v>736</v>
      </c>
      <c r="B4" s="1"/>
      <c r="C4" s="1"/>
      <c r="D4" s="1"/>
      <c r="E4" s="1"/>
      <c r="F4" s="1"/>
      <c r="G4" s="1"/>
      <c r="H4" s="1"/>
      <c r="I4" s="1"/>
      <c r="J4" s="1"/>
      <c r="K4" s="1"/>
      <c r="L4" s="1"/>
      <c r="M4" s="1"/>
      <c r="N4" s="1"/>
      <c r="O4" s="1"/>
      <c r="P4" s="1"/>
      <c r="Q4" s="1"/>
      <c r="R4" s="1"/>
      <c r="S4" s="1"/>
      <c r="T4" s="1"/>
    </row>
    <row r="5" spans="1:20">
      <c r="A5" s="1" t="s">
        <v>737</v>
      </c>
      <c r="B5" s="1"/>
      <c r="C5" s="1"/>
      <c r="D5" s="1"/>
      <c r="E5" s="1" t="s">
        <v>248</v>
      </c>
      <c r="F5" s="1" t="s">
        <v>248</v>
      </c>
      <c r="G5" s="1" t="s">
        <v>248</v>
      </c>
      <c r="H5" s="1" t="s">
        <v>248</v>
      </c>
      <c r="I5" s="1" t="s">
        <v>248</v>
      </c>
      <c r="J5" s="1" t="s">
        <v>248</v>
      </c>
      <c r="K5" s="1" t="s">
        <v>248</v>
      </c>
      <c r="L5" s="1" t="s">
        <v>248</v>
      </c>
      <c r="M5" s="1" t="s">
        <v>248</v>
      </c>
      <c r="N5" s="1" t="s">
        <v>248</v>
      </c>
      <c r="O5" s="1" t="s">
        <v>248</v>
      </c>
      <c r="P5" s="1" t="s">
        <v>248</v>
      </c>
      <c r="Q5" s="1" t="s">
        <v>248</v>
      </c>
      <c r="R5" s="1" t="s">
        <v>2894</v>
      </c>
      <c r="S5" s="1" t="s">
        <v>2894</v>
      </c>
      <c r="T5" s="1" t="s">
        <v>2894</v>
      </c>
    </row>
    <row r="6" spans="1:20">
      <c r="A6" s="42" t="s">
        <v>560</v>
      </c>
      <c r="B6" s="42"/>
      <c r="C6" s="42"/>
      <c r="D6" s="42"/>
      <c r="E6" s="42">
        <v>1983</v>
      </c>
      <c r="F6" s="42" t="s">
        <v>256</v>
      </c>
      <c r="G6" s="42" t="s">
        <v>257</v>
      </c>
      <c r="H6" s="42" t="s">
        <v>251</v>
      </c>
      <c r="I6" s="42" t="s">
        <v>252</v>
      </c>
      <c r="J6" s="42" t="s">
        <v>258</v>
      </c>
      <c r="K6" s="42" t="s">
        <v>302</v>
      </c>
      <c r="L6" s="42" t="s">
        <v>259</v>
      </c>
      <c r="M6" s="42" t="s">
        <v>260</v>
      </c>
      <c r="N6" s="42" t="s">
        <v>261</v>
      </c>
      <c r="O6" s="42" t="s">
        <v>262</v>
      </c>
      <c r="P6" s="42" t="s">
        <v>194</v>
      </c>
      <c r="Q6" s="42" t="s">
        <v>195</v>
      </c>
      <c r="R6" s="42" t="s">
        <v>1907</v>
      </c>
      <c r="S6" s="42" t="s">
        <v>1812</v>
      </c>
      <c r="T6" s="42" t="s">
        <v>1927</v>
      </c>
    </row>
    <row r="7" spans="1:20" ht="121">
      <c r="A7" s="7" t="s">
        <v>3334</v>
      </c>
      <c r="B7" s="1"/>
      <c r="C7" s="1"/>
      <c r="D7" s="1"/>
      <c r="E7" s="1" t="s">
        <v>2617</v>
      </c>
      <c r="F7" s="1" t="s">
        <v>2618</v>
      </c>
      <c r="G7" s="1" t="s">
        <v>2619</v>
      </c>
      <c r="H7" s="1" t="s">
        <v>2620</v>
      </c>
      <c r="I7" s="1" t="s">
        <v>2621</v>
      </c>
      <c r="J7" s="1" t="s">
        <v>2622</v>
      </c>
      <c r="K7" s="1" t="s">
        <v>2623</v>
      </c>
      <c r="L7" s="1" t="s">
        <v>2624</v>
      </c>
      <c r="M7" s="1" t="s">
        <v>2625</v>
      </c>
      <c r="N7" s="1" t="s">
        <v>2626</v>
      </c>
      <c r="O7" s="1" t="s">
        <v>2627</v>
      </c>
      <c r="P7" s="1" t="s">
        <v>2628</v>
      </c>
      <c r="Q7" s="1" t="s">
        <v>2629</v>
      </c>
      <c r="R7" s="1" t="s">
        <v>2920</v>
      </c>
      <c r="S7" s="1" t="s">
        <v>2921</v>
      </c>
      <c r="T7" s="1" t="s">
        <v>2922</v>
      </c>
    </row>
    <row r="8" spans="1:20">
      <c r="A8" s="9" t="s">
        <v>572</v>
      </c>
      <c r="B8" s="9" t="s">
        <v>770</v>
      </c>
      <c r="C8" s="9" t="s">
        <v>771</v>
      </c>
      <c r="D8" s="9" t="s">
        <v>772</v>
      </c>
      <c r="E8" s="9" t="s">
        <v>1474</v>
      </c>
      <c r="F8" s="9" t="s">
        <v>1475</v>
      </c>
      <c r="G8" s="9" t="s">
        <v>1476</v>
      </c>
      <c r="H8" s="9" t="s">
        <v>1477</v>
      </c>
      <c r="I8" s="9" t="s">
        <v>1478</v>
      </c>
      <c r="J8" s="9" t="s">
        <v>1479</v>
      </c>
      <c r="K8" s="9" t="s">
        <v>1480</v>
      </c>
      <c r="L8" s="9" t="s">
        <v>1481</v>
      </c>
      <c r="M8" s="9" t="s">
        <v>1482</v>
      </c>
      <c r="N8" s="9" t="s">
        <v>1483</v>
      </c>
      <c r="O8" s="9" t="s">
        <v>1501</v>
      </c>
      <c r="P8" s="9" t="s">
        <v>1494</v>
      </c>
      <c r="Q8" s="9" t="s">
        <v>1495</v>
      </c>
      <c r="R8" s="9" t="s">
        <v>2917</v>
      </c>
      <c r="S8" s="9" t="s">
        <v>2918</v>
      </c>
      <c r="T8" s="9" t="s">
        <v>2919</v>
      </c>
    </row>
    <row r="9" spans="1:20">
      <c r="A9" s="3" t="s">
        <v>850</v>
      </c>
      <c r="B9" s="3" t="s">
        <v>851</v>
      </c>
      <c r="C9" s="3">
        <v>1</v>
      </c>
      <c r="D9" s="3" t="s">
        <v>759</v>
      </c>
      <c r="E9" s="10">
        <v>0</v>
      </c>
      <c r="F9" s="10">
        <v>0</v>
      </c>
      <c r="G9" s="10">
        <v>1</v>
      </c>
      <c r="H9" s="10">
        <v>1</v>
      </c>
      <c r="I9" s="10">
        <v>1</v>
      </c>
      <c r="J9" s="10">
        <v>1</v>
      </c>
      <c r="K9" s="10">
        <v>1</v>
      </c>
      <c r="L9" s="10">
        <v>0</v>
      </c>
      <c r="M9" s="10">
        <v>0</v>
      </c>
      <c r="N9" s="10">
        <v>1</v>
      </c>
      <c r="O9" s="10">
        <v>1</v>
      </c>
      <c r="P9" s="10">
        <v>1</v>
      </c>
      <c r="Q9" s="10">
        <v>1</v>
      </c>
      <c r="R9" s="83">
        <v>1</v>
      </c>
      <c r="S9" s="83">
        <v>1</v>
      </c>
      <c r="T9" s="83">
        <v>1</v>
      </c>
    </row>
    <row r="10" spans="1:20">
      <c r="A10" s="3" t="s">
        <v>667</v>
      </c>
      <c r="B10" s="3" t="s">
        <v>668</v>
      </c>
      <c r="C10" s="3">
        <v>2</v>
      </c>
      <c r="D10" s="3" t="s">
        <v>759</v>
      </c>
      <c r="E10" s="10">
        <v>0</v>
      </c>
      <c r="F10" s="10">
        <v>0</v>
      </c>
      <c r="G10" s="10">
        <v>0</v>
      </c>
      <c r="H10" s="10">
        <v>1</v>
      </c>
      <c r="I10" s="10">
        <v>0</v>
      </c>
      <c r="J10" s="10">
        <v>1</v>
      </c>
      <c r="K10" s="10">
        <v>0</v>
      </c>
      <c r="L10" s="10">
        <v>0</v>
      </c>
      <c r="M10" s="10">
        <v>0</v>
      </c>
      <c r="N10" s="10">
        <v>0</v>
      </c>
      <c r="O10" s="10">
        <v>0</v>
      </c>
      <c r="P10" s="10">
        <v>0</v>
      </c>
      <c r="Q10" s="10">
        <v>0</v>
      </c>
      <c r="R10" s="83">
        <v>0</v>
      </c>
      <c r="S10" s="83">
        <v>0</v>
      </c>
      <c r="T10" s="83">
        <v>0</v>
      </c>
    </row>
    <row r="11" spans="1:20">
      <c r="A11" s="3" t="s">
        <v>669</v>
      </c>
      <c r="B11" s="3" t="s">
        <v>663</v>
      </c>
      <c r="C11" s="3">
        <v>3</v>
      </c>
      <c r="D11" s="3" t="s">
        <v>664</v>
      </c>
      <c r="E11" s="10">
        <v>1</v>
      </c>
      <c r="F11" s="10">
        <v>0</v>
      </c>
      <c r="G11" s="10">
        <v>1</v>
      </c>
      <c r="H11" s="10">
        <v>1</v>
      </c>
      <c r="I11" s="10">
        <v>0</v>
      </c>
      <c r="J11" s="10">
        <v>0</v>
      </c>
      <c r="K11" s="10">
        <v>0</v>
      </c>
      <c r="L11" s="10">
        <v>0</v>
      </c>
      <c r="M11" s="10">
        <v>0</v>
      </c>
      <c r="N11" s="10"/>
      <c r="O11" s="10">
        <v>0</v>
      </c>
      <c r="P11" s="10">
        <v>0</v>
      </c>
      <c r="Q11" s="10">
        <v>0</v>
      </c>
      <c r="R11" s="83">
        <v>0</v>
      </c>
      <c r="S11" s="83">
        <v>1</v>
      </c>
      <c r="T11" s="83">
        <v>0</v>
      </c>
    </row>
    <row r="12" spans="1:20">
      <c r="A12" s="3" t="s">
        <v>665</v>
      </c>
      <c r="B12" s="3" t="s">
        <v>640</v>
      </c>
      <c r="C12" s="3">
        <v>4</v>
      </c>
      <c r="D12" s="3" t="s">
        <v>641</v>
      </c>
      <c r="E12" s="10">
        <v>0</v>
      </c>
      <c r="F12" s="10">
        <v>1</v>
      </c>
      <c r="G12" s="10">
        <v>0</v>
      </c>
      <c r="H12" s="10">
        <v>1</v>
      </c>
      <c r="I12" s="10">
        <v>0</v>
      </c>
      <c r="J12" s="10">
        <v>1</v>
      </c>
      <c r="K12" s="10">
        <v>1</v>
      </c>
      <c r="L12" s="10">
        <v>0</v>
      </c>
      <c r="M12" s="10">
        <v>0</v>
      </c>
      <c r="N12" s="10">
        <v>0</v>
      </c>
      <c r="O12" s="10">
        <v>0</v>
      </c>
      <c r="P12" s="10">
        <v>0</v>
      </c>
      <c r="Q12" s="10">
        <v>0</v>
      </c>
      <c r="R12" s="83">
        <v>1</v>
      </c>
      <c r="S12" s="83">
        <v>1</v>
      </c>
      <c r="T12" s="83">
        <v>1</v>
      </c>
    </row>
    <row r="13" spans="1:20">
      <c r="A13" s="3" t="s">
        <v>539</v>
      </c>
      <c r="B13" s="3" t="s">
        <v>540</v>
      </c>
      <c r="C13" s="3">
        <v>5</v>
      </c>
      <c r="D13" s="3" t="s">
        <v>541</v>
      </c>
      <c r="E13" s="10">
        <v>0</v>
      </c>
      <c r="F13" s="10"/>
      <c r="G13" s="10">
        <v>1</v>
      </c>
      <c r="H13" s="10"/>
      <c r="I13" s="10">
        <v>1</v>
      </c>
      <c r="J13" s="10"/>
      <c r="K13" s="10">
        <v>0</v>
      </c>
      <c r="L13" s="10"/>
      <c r="M13" s="10">
        <v>0</v>
      </c>
      <c r="N13" s="10"/>
      <c r="O13" s="10">
        <v>1</v>
      </c>
      <c r="P13" s="10"/>
      <c r="Q13" s="10">
        <v>1</v>
      </c>
      <c r="R13" s="83"/>
      <c r="S13" s="83">
        <v>1</v>
      </c>
      <c r="T13" s="83"/>
    </row>
    <row r="14" spans="1:20">
      <c r="A14" s="3" t="s">
        <v>542</v>
      </c>
      <c r="B14" s="3" t="s">
        <v>543</v>
      </c>
      <c r="C14" s="3">
        <v>6</v>
      </c>
      <c r="D14" s="3" t="s">
        <v>759</v>
      </c>
      <c r="E14" s="10">
        <v>0</v>
      </c>
      <c r="F14" s="10"/>
      <c r="G14" s="10">
        <v>0</v>
      </c>
      <c r="H14" s="10"/>
      <c r="I14" s="10">
        <v>0</v>
      </c>
      <c r="J14" s="10"/>
      <c r="K14" s="10">
        <v>0</v>
      </c>
      <c r="L14" s="10"/>
      <c r="M14" s="10">
        <v>1</v>
      </c>
      <c r="N14" s="10">
        <v>1</v>
      </c>
      <c r="O14" s="10">
        <v>1</v>
      </c>
      <c r="P14" s="10"/>
      <c r="Q14" s="10">
        <v>1</v>
      </c>
      <c r="R14" s="83"/>
      <c r="S14" s="83">
        <v>1</v>
      </c>
      <c r="T14" s="83"/>
    </row>
    <row r="15" spans="1:20">
      <c r="A15" s="3" t="s">
        <v>628</v>
      </c>
      <c r="B15" s="3" t="s">
        <v>629</v>
      </c>
      <c r="C15" s="3">
        <v>7</v>
      </c>
      <c r="D15" s="3" t="s">
        <v>641</v>
      </c>
      <c r="E15" s="10">
        <v>0</v>
      </c>
      <c r="F15" s="10">
        <v>0</v>
      </c>
      <c r="G15" s="10">
        <v>0</v>
      </c>
      <c r="H15" s="10">
        <v>0</v>
      </c>
      <c r="I15" s="10">
        <v>0</v>
      </c>
      <c r="J15" s="10">
        <v>0</v>
      </c>
      <c r="K15" s="10">
        <v>0</v>
      </c>
      <c r="L15" s="10">
        <v>0</v>
      </c>
      <c r="M15" s="10">
        <v>0</v>
      </c>
      <c r="N15" s="10">
        <v>0</v>
      </c>
      <c r="O15" s="10">
        <v>0</v>
      </c>
      <c r="P15" s="10">
        <v>0</v>
      </c>
      <c r="Q15" s="10">
        <v>0</v>
      </c>
      <c r="R15" s="83">
        <v>0</v>
      </c>
      <c r="S15" s="83">
        <v>0</v>
      </c>
      <c r="T15" s="83">
        <v>0</v>
      </c>
    </row>
    <row r="16" spans="1:20">
      <c r="A16" s="3" t="s">
        <v>630</v>
      </c>
      <c r="B16" s="3" t="s">
        <v>631</v>
      </c>
      <c r="C16" s="3">
        <v>8</v>
      </c>
      <c r="D16" s="3" t="s">
        <v>759</v>
      </c>
      <c r="E16" s="10">
        <v>0</v>
      </c>
      <c r="F16" s="10"/>
      <c r="G16" s="10">
        <v>1</v>
      </c>
      <c r="H16" s="10"/>
      <c r="I16" s="10">
        <v>1</v>
      </c>
      <c r="J16" s="10"/>
      <c r="K16" s="10">
        <v>1</v>
      </c>
      <c r="L16" s="10"/>
      <c r="M16" s="10">
        <v>0</v>
      </c>
      <c r="N16" s="10"/>
      <c r="O16" s="10">
        <v>1</v>
      </c>
      <c r="P16" s="10"/>
      <c r="Q16" s="10">
        <v>1</v>
      </c>
      <c r="R16" s="83"/>
      <c r="S16" s="83">
        <v>1</v>
      </c>
      <c r="T16" s="83"/>
    </row>
    <row r="17" spans="1:20">
      <c r="A17" s="3" t="s">
        <v>632</v>
      </c>
      <c r="B17" s="3" t="s">
        <v>633</v>
      </c>
      <c r="C17" s="3">
        <v>9</v>
      </c>
      <c r="D17" s="3" t="s">
        <v>641</v>
      </c>
      <c r="E17" s="10">
        <v>1</v>
      </c>
      <c r="F17" s="10">
        <v>1</v>
      </c>
      <c r="G17" s="10">
        <v>1</v>
      </c>
      <c r="H17" s="10">
        <v>1</v>
      </c>
      <c r="I17" s="10">
        <v>1</v>
      </c>
      <c r="J17" s="10">
        <v>1</v>
      </c>
      <c r="K17" s="10">
        <v>1</v>
      </c>
      <c r="L17" s="10">
        <v>1</v>
      </c>
      <c r="M17" s="10">
        <v>1</v>
      </c>
      <c r="N17" s="10"/>
      <c r="O17" s="10">
        <v>1</v>
      </c>
      <c r="P17" s="10">
        <v>1</v>
      </c>
      <c r="Q17" s="10">
        <v>1</v>
      </c>
      <c r="R17" s="83">
        <v>1</v>
      </c>
      <c r="S17" s="83">
        <v>1</v>
      </c>
      <c r="T17" s="83">
        <v>1</v>
      </c>
    </row>
    <row r="18" spans="1:20">
      <c r="A18" s="3" t="s">
        <v>634</v>
      </c>
      <c r="B18" s="3" t="s">
        <v>715</v>
      </c>
      <c r="C18" s="3">
        <v>10</v>
      </c>
      <c r="D18" s="3" t="s">
        <v>664</v>
      </c>
      <c r="E18" s="10">
        <v>1</v>
      </c>
      <c r="F18" s="10">
        <v>0</v>
      </c>
      <c r="G18" s="10">
        <v>1</v>
      </c>
      <c r="H18" s="10">
        <v>1</v>
      </c>
      <c r="I18" s="10">
        <v>1</v>
      </c>
      <c r="J18" s="10">
        <v>1</v>
      </c>
      <c r="K18" s="10">
        <v>1</v>
      </c>
      <c r="L18" s="10">
        <v>1</v>
      </c>
      <c r="M18" s="10">
        <v>1</v>
      </c>
      <c r="N18" s="10">
        <v>1</v>
      </c>
      <c r="O18" s="10">
        <v>1</v>
      </c>
      <c r="P18" s="10">
        <v>1</v>
      </c>
      <c r="Q18" s="10">
        <v>1</v>
      </c>
      <c r="R18" s="83">
        <v>1</v>
      </c>
      <c r="S18" s="83">
        <v>1</v>
      </c>
      <c r="T18" s="83">
        <v>0</v>
      </c>
    </row>
    <row r="19" spans="1:20">
      <c r="A19" s="3" t="s">
        <v>716</v>
      </c>
      <c r="B19" s="3" t="s">
        <v>717</v>
      </c>
      <c r="C19" s="3">
        <v>11</v>
      </c>
      <c r="D19" s="3" t="s">
        <v>541</v>
      </c>
      <c r="E19" s="10">
        <v>1</v>
      </c>
      <c r="F19" s="10"/>
      <c r="G19" s="10">
        <v>1</v>
      </c>
      <c r="H19" s="10"/>
      <c r="I19" s="10">
        <v>1</v>
      </c>
      <c r="J19" s="10"/>
      <c r="K19" s="10">
        <v>1</v>
      </c>
      <c r="L19" s="10"/>
      <c r="M19" s="10">
        <v>1</v>
      </c>
      <c r="N19" s="10"/>
      <c r="O19" s="10"/>
      <c r="P19" s="10"/>
      <c r="Q19" s="10">
        <v>1</v>
      </c>
      <c r="R19" s="83"/>
      <c r="S19" s="83">
        <v>1</v>
      </c>
      <c r="T19" s="83"/>
    </row>
    <row r="20" spans="1:20">
      <c r="A20" s="3" t="s">
        <v>718</v>
      </c>
      <c r="B20" s="3" t="s">
        <v>719</v>
      </c>
      <c r="C20" s="3">
        <v>12</v>
      </c>
      <c r="D20" s="3" t="s">
        <v>664</v>
      </c>
      <c r="E20" s="10">
        <v>1</v>
      </c>
      <c r="F20" s="10">
        <v>1</v>
      </c>
      <c r="G20" s="10">
        <v>1</v>
      </c>
      <c r="H20" s="10">
        <v>1</v>
      </c>
      <c r="I20" s="10">
        <v>1</v>
      </c>
      <c r="J20" s="10">
        <v>1</v>
      </c>
      <c r="K20" s="10">
        <v>1</v>
      </c>
      <c r="L20" s="10">
        <v>1</v>
      </c>
      <c r="M20" s="10">
        <v>1</v>
      </c>
      <c r="N20" s="10">
        <v>1</v>
      </c>
      <c r="O20" s="10">
        <v>1</v>
      </c>
      <c r="P20" s="10">
        <v>1</v>
      </c>
      <c r="Q20" s="10">
        <v>1</v>
      </c>
      <c r="R20" s="83">
        <v>1</v>
      </c>
      <c r="S20" s="83">
        <v>1</v>
      </c>
      <c r="T20" s="83">
        <v>1</v>
      </c>
    </row>
    <row r="21" spans="1:20">
      <c r="A21" s="3" t="s">
        <v>711</v>
      </c>
      <c r="B21" s="3" t="s">
        <v>712</v>
      </c>
      <c r="C21" s="3">
        <v>13</v>
      </c>
      <c r="D21" s="3" t="s">
        <v>713</v>
      </c>
      <c r="E21" s="10">
        <v>0</v>
      </c>
      <c r="F21" s="10">
        <v>0</v>
      </c>
      <c r="G21" s="10">
        <v>1</v>
      </c>
      <c r="H21" s="10">
        <v>1</v>
      </c>
      <c r="I21" s="10">
        <v>1</v>
      </c>
      <c r="J21" s="10">
        <v>1</v>
      </c>
      <c r="K21" s="10">
        <v>1</v>
      </c>
      <c r="L21" s="10">
        <v>0</v>
      </c>
      <c r="M21" s="10">
        <v>0</v>
      </c>
      <c r="N21" s="10">
        <v>1</v>
      </c>
      <c r="O21" s="10">
        <v>1</v>
      </c>
      <c r="P21" s="10">
        <v>0</v>
      </c>
      <c r="Q21" s="10">
        <v>1</v>
      </c>
      <c r="R21" s="83">
        <v>0</v>
      </c>
      <c r="S21" s="83">
        <v>1</v>
      </c>
      <c r="T21" s="83">
        <v>0</v>
      </c>
    </row>
    <row r="22" spans="1:20">
      <c r="A22" s="3" t="s">
        <v>714</v>
      </c>
      <c r="B22" s="3" t="s">
        <v>530</v>
      </c>
      <c r="C22" s="3">
        <v>14</v>
      </c>
      <c r="D22" s="3" t="s">
        <v>641</v>
      </c>
      <c r="E22" s="10">
        <v>0</v>
      </c>
      <c r="F22" s="10">
        <v>0</v>
      </c>
      <c r="G22" s="10">
        <v>1</v>
      </c>
      <c r="H22" s="10">
        <v>1</v>
      </c>
      <c r="I22" s="10">
        <v>1</v>
      </c>
      <c r="J22" s="10">
        <v>1</v>
      </c>
      <c r="K22" s="10">
        <v>1</v>
      </c>
      <c r="L22" s="10">
        <v>1</v>
      </c>
      <c r="M22" s="10">
        <v>1</v>
      </c>
      <c r="N22" s="10"/>
      <c r="O22" s="10">
        <v>1</v>
      </c>
      <c r="P22" s="10">
        <v>1</v>
      </c>
      <c r="Q22" s="10">
        <v>1</v>
      </c>
      <c r="R22" s="83">
        <v>1</v>
      </c>
      <c r="S22" s="83">
        <v>1</v>
      </c>
      <c r="T22" s="83">
        <v>1</v>
      </c>
    </row>
    <row r="23" spans="1:20">
      <c r="A23" s="3" t="s">
        <v>620</v>
      </c>
      <c r="B23" s="3" t="s">
        <v>621</v>
      </c>
      <c r="C23" s="3">
        <v>15</v>
      </c>
      <c r="D23" s="3" t="s">
        <v>541</v>
      </c>
      <c r="E23" s="10">
        <v>0</v>
      </c>
      <c r="F23" s="10"/>
      <c r="G23" s="10">
        <v>0</v>
      </c>
      <c r="H23" s="10"/>
      <c r="I23" s="10">
        <v>0</v>
      </c>
      <c r="J23" s="10"/>
      <c r="K23" s="10">
        <v>0</v>
      </c>
      <c r="L23" s="10"/>
      <c r="M23" s="10">
        <v>0</v>
      </c>
      <c r="N23" s="10"/>
      <c r="O23" s="10">
        <v>0</v>
      </c>
      <c r="P23" s="10"/>
      <c r="Q23" s="10">
        <v>0</v>
      </c>
      <c r="R23" s="83"/>
      <c r="S23" s="83">
        <v>0</v>
      </c>
      <c r="T23" s="83"/>
    </row>
    <row r="24" spans="1:20">
      <c r="A24" s="3" t="s">
        <v>622</v>
      </c>
      <c r="B24" s="3" t="s">
        <v>925</v>
      </c>
      <c r="C24" s="3">
        <v>16</v>
      </c>
      <c r="D24" s="3" t="s">
        <v>541</v>
      </c>
      <c r="E24" s="10">
        <v>0</v>
      </c>
      <c r="F24" s="10"/>
      <c r="G24" s="10">
        <v>0</v>
      </c>
      <c r="H24" s="10"/>
      <c r="I24" s="10">
        <v>0</v>
      </c>
      <c r="J24" s="10"/>
      <c r="K24" s="10">
        <v>0</v>
      </c>
      <c r="L24" s="10"/>
      <c r="M24" s="10">
        <v>0</v>
      </c>
      <c r="N24" s="10"/>
      <c r="O24" s="10">
        <v>0</v>
      </c>
      <c r="P24" s="10"/>
      <c r="Q24" s="10">
        <v>1</v>
      </c>
      <c r="R24" s="83"/>
      <c r="S24" s="83">
        <v>1</v>
      </c>
      <c r="T24" s="83"/>
    </row>
    <row r="25" spans="1:20">
      <c r="A25" s="3" t="s">
        <v>926</v>
      </c>
      <c r="B25" s="3" t="s">
        <v>927</v>
      </c>
      <c r="C25" s="3">
        <v>17</v>
      </c>
      <c r="D25" s="3" t="s">
        <v>664</v>
      </c>
      <c r="E25" s="10">
        <v>1</v>
      </c>
      <c r="F25" s="10">
        <v>0</v>
      </c>
      <c r="G25" s="10">
        <v>1</v>
      </c>
      <c r="H25" s="10">
        <v>1</v>
      </c>
      <c r="I25" s="10">
        <v>0</v>
      </c>
      <c r="J25" s="10"/>
      <c r="K25" s="10">
        <v>1</v>
      </c>
      <c r="L25" s="10">
        <v>1</v>
      </c>
      <c r="M25" s="10">
        <v>1</v>
      </c>
      <c r="N25" s="10"/>
      <c r="O25" s="10">
        <v>1</v>
      </c>
      <c r="P25" s="10">
        <v>1</v>
      </c>
      <c r="Q25" s="10">
        <v>1</v>
      </c>
      <c r="R25" s="83">
        <v>1</v>
      </c>
      <c r="S25" s="83">
        <v>1</v>
      </c>
      <c r="T25" s="83">
        <v>1</v>
      </c>
    </row>
    <row r="26" spans="1:20">
      <c r="A26" s="3" t="s">
        <v>928</v>
      </c>
      <c r="B26" s="3" t="s">
        <v>929</v>
      </c>
      <c r="C26" s="3">
        <v>18</v>
      </c>
      <c r="D26" s="3" t="s">
        <v>713</v>
      </c>
      <c r="E26" s="10">
        <v>0</v>
      </c>
      <c r="F26" s="10"/>
      <c r="G26" s="10">
        <v>1</v>
      </c>
      <c r="H26" s="10"/>
      <c r="I26" s="10">
        <v>1</v>
      </c>
      <c r="J26" s="10"/>
      <c r="K26" s="10">
        <v>1</v>
      </c>
      <c r="L26" s="10"/>
      <c r="M26" s="10">
        <v>0</v>
      </c>
      <c r="N26" s="10"/>
      <c r="O26" s="10">
        <v>1</v>
      </c>
      <c r="P26" s="10"/>
      <c r="Q26" s="10">
        <v>1</v>
      </c>
      <c r="R26" s="83"/>
      <c r="S26" s="83">
        <v>1</v>
      </c>
      <c r="T26" s="83"/>
    </row>
    <row r="27" spans="1:20">
      <c r="A27" s="3" t="s">
        <v>841</v>
      </c>
      <c r="B27" s="3" t="s">
        <v>659</v>
      </c>
      <c r="C27" s="3">
        <v>19</v>
      </c>
      <c r="D27" s="3" t="s">
        <v>713</v>
      </c>
      <c r="E27" s="10">
        <v>1</v>
      </c>
      <c r="F27" s="10">
        <v>0</v>
      </c>
      <c r="G27" s="10">
        <v>1</v>
      </c>
      <c r="H27" s="10">
        <v>1</v>
      </c>
      <c r="I27" s="10"/>
      <c r="J27" s="10">
        <v>1</v>
      </c>
      <c r="K27" s="10">
        <v>1</v>
      </c>
      <c r="L27" s="10">
        <v>1</v>
      </c>
      <c r="M27" s="10"/>
      <c r="N27" s="10">
        <v>1</v>
      </c>
      <c r="O27" s="10">
        <v>1</v>
      </c>
      <c r="P27" s="10">
        <v>1</v>
      </c>
      <c r="Q27" s="10">
        <v>1</v>
      </c>
      <c r="R27" s="83">
        <v>1</v>
      </c>
      <c r="S27" s="83">
        <v>1</v>
      </c>
      <c r="T27" s="83">
        <v>1</v>
      </c>
    </row>
    <row r="28" spans="1:20">
      <c r="A28" s="3" t="s">
        <v>660</v>
      </c>
      <c r="B28" s="3" t="s">
        <v>661</v>
      </c>
      <c r="C28" s="3">
        <v>20</v>
      </c>
      <c r="D28" s="3" t="s">
        <v>541</v>
      </c>
      <c r="E28" s="10">
        <v>1</v>
      </c>
      <c r="F28" s="10">
        <v>0</v>
      </c>
      <c r="G28" s="10">
        <v>1</v>
      </c>
      <c r="H28" s="10">
        <v>1</v>
      </c>
      <c r="I28" s="10">
        <v>1</v>
      </c>
      <c r="J28" s="10">
        <v>1</v>
      </c>
      <c r="K28" s="10">
        <v>1</v>
      </c>
      <c r="L28" s="10">
        <v>1</v>
      </c>
      <c r="M28" s="10">
        <v>1</v>
      </c>
      <c r="N28" s="10"/>
      <c r="O28" s="10">
        <v>1</v>
      </c>
      <c r="P28" s="10"/>
      <c r="Q28" s="10">
        <v>1</v>
      </c>
      <c r="R28" s="83"/>
      <c r="S28" s="83">
        <v>1</v>
      </c>
      <c r="T28" s="83"/>
    </row>
    <row r="29" spans="1:20">
      <c r="A29" s="3" t="s">
        <v>80</v>
      </c>
      <c r="B29" s="3" t="s">
        <v>747</v>
      </c>
      <c r="C29" s="3">
        <v>21</v>
      </c>
      <c r="D29" s="3" t="s">
        <v>759</v>
      </c>
      <c r="E29" s="10">
        <v>1</v>
      </c>
      <c r="F29" s="10"/>
      <c r="G29" s="10">
        <v>1</v>
      </c>
      <c r="H29" s="10"/>
      <c r="I29" s="10">
        <v>1</v>
      </c>
      <c r="J29" s="10"/>
      <c r="K29" s="10">
        <v>1</v>
      </c>
      <c r="L29" s="10"/>
      <c r="M29" s="10">
        <v>1</v>
      </c>
      <c r="N29" s="10"/>
      <c r="O29" s="10">
        <v>1</v>
      </c>
      <c r="P29" s="10"/>
      <c r="Q29" s="10">
        <v>0</v>
      </c>
      <c r="R29" s="83"/>
      <c r="S29" s="83">
        <v>1</v>
      </c>
      <c r="T29" s="83"/>
    </row>
    <row r="30" spans="1:20">
      <c r="A30" s="3" t="s">
        <v>721</v>
      </c>
      <c r="B30" s="3" t="s">
        <v>722</v>
      </c>
      <c r="C30" s="3">
        <v>22</v>
      </c>
      <c r="D30" s="3" t="s">
        <v>664</v>
      </c>
      <c r="E30" s="10">
        <v>1</v>
      </c>
      <c r="F30" s="10">
        <v>1</v>
      </c>
      <c r="G30" s="10">
        <v>0</v>
      </c>
      <c r="H30" s="10">
        <v>1</v>
      </c>
      <c r="I30" s="10">
        <v>1</v>
      </c>
      <c r="J30" s="10">
        <v>0</v>
      </c>
      <c r="K30" s="10">
        <v>1</v>
      </c>
      <c r="L30" s="10">
        <v>1</v>
      </c>
      <c r="M30" s="10">
        <v>1</v>
      </c>
      <c r="N30" s="10"/>
      <c r="O30" s="10"/>
      <c r="P30" s="10">
        <v>1</v>
      </c>
      <c r="Q30" s="10"/>
      <c r="R30" s="83">
        <v>1</v>
      </c>
      <c r="S30" s="83"/>
      <c r="T30" s="83">
        <v>1</v>
      </c>
    </row>
    <row r="31" spans="1:20">
      <c r="A31" s="3" t="s">
        <v>723</v>
      </c>
      <c r="B31" s="3" t="s">
        <v>724</v>
      </c>
      <c r="C31" s="3">
        <v>23</v>
      </c>
      <c r="D31" s="3" t="s">
        <v>541</v>
      </c>
      <c r="E31" s="10">
        <v>0</v>
      </c>
      <c r="F31" s="10">
        <v>1</v>
      </c>
      <c r="G31" s="10"/>
      <c r="H31" s="10">
        <v>1</v>
      </c>
      <c r="I31" s="10"/>
      <c r="J31" s="10"/>
      <c r="K31" s="10">
        <v>0</v>
      </c>
      <c r="L31" s="10"/>
      <c r="M31" s="10">
        <v>1</v>
      </c>
      <c r="N31" s="10"/>
      <c r="O31" s="10">
        <v>1</v>
      </c>
      <c r="P31" s="10"/>
      <c r="Q31" s="10">
        <v>0</v>
      </c>
      <c r="R31" s="83"/>
      <c r="S31" s="83">
        <v>1</v>
      </c>
      <c r="T31" s="83"/>
    </row>
    <row r="32" spans="1:20">
      <c r="A32" s="3" t="s">
        <v>725</v>
      </c>
      <c r="B32" s="3" t="s">
        <v>726</v>
      </c>
      <c r="C32" s="3">
        <v>24</v>
      </c>
      <c r="D32" s="3" t="s">
        <v>664</v>
      </c>
      <c r="E32" s="10">
        <v>1</v>
      </c>
      <c r="F32" s="10">
        <v>0</v>
      </c>
      <c r="G32" s="10">
        <v>0</v>
      </c>
      <c r="H32" s="10">
        <v>0</v>
      </c>
      <c r="I32" s="10">
        <v>1</v>
      </c>
      <c r="J32" s="10"/>
      <c r="K32" s="10">
        <v>1</v>
      </c>
      <c r="L32" s="10"/>
      <c r="M32" s="10">
        <v>1</v>
      </c>
      <c r="N32" s="10"/>
      <c r="O32" s="10">
        <v>1</v>
      </c>
      <c r="P32" s="10"/>
      <c r="Q32" s="10">
        <v>1</v>
      </c>
      <c r="R32" s="83"/>
      <c r="S32" s="83">
        <v>1</v>
      </c>
      <c r="T32" s="83"/>
    </row>
    <row r="33" spans="1:20">
      <c r="E33" s="11"/>
      <c r="F33" s="11"/>
      <c r="G33" s="11"/>
      <c r="H33" s="11"/>
      <c r="I33" s="11"/>
      <c r="J33" s="11"/>
      <c r="K33" s="11"/>
      <c r="L33" s="11"/>
      <c r="M33" s="11"/>
      <c r="N33" s="11"/>
      <c r="O33" s="11"/>
      <c r="P33" s="11"/>
      <c r="Q33" s="11"/>
    </row>
    <row r="34" spans="1:20">
      <c r="A34" s="3" t="s">
        <v>727</v>
      </c>
      <c r="E34" s="11"/>
      <c r="F34" s="11"/>
      <c r="G34" s="11"/>
      <c r="H34" s="11"/>
      <c r="I34" s="11"/>
      <c r="J34" s="11"/>
      <c r="K34" s="11"/>
      <c r="L34" s="11"/>
      <c r="M34" s="11"/>
      <c r="N34" s="11"/>
      <c r="O34" s="11"/>
      <c r="P34" s="11"/>
      <c r="Q34" s="11"/>
    </row>
    <row r="35" spans="1:20" ht="143">
      <c r="A35" s="7" t="s">
        <v>728</v>
      </c>
      <c r="B35" s="7"/>
      <c r="C35" s="7"/>
      <c r="D35" s="7"/>
      <c r="E35" s="8" t="s">
        <v>1512</v>
      </c>
      <c r="F35" s="8" t="s">
        <v>1512</v>
      </c>
      <c r="G35" s="8" t="s">
        <v>1512</v>
      </c>
      <c r="H35" s="8" t="s">
        <v>1512</v>
      </c>
      <c r="I35" s="8" t="s">
        <v>1512</v>
      </c>
      <c r="J35" s="8" t="s">
        <v>1512</v>
      </c>
      <c r="K35" s="8" t="s">
        <v>1512</v>
      </c>
      <c r="L35" s="8" t="s">
        <v>1512</v>
      </c>
      <c r="M35" s="8" t="s">
        <v>1512</v>
      </c>
      <c r="N35" s="8" t="s">
        <v>1512</v>
      </c>
      <c r="O35" s="8" t="s">
        <v>1512</v>
      </c>
      <c r="P35" s="8" t="s">
        <v>1512</v>
      </c>
      <c r="Q35" s="8" t="s">
        <v>1512</v>
      </c>
      <c r="R35" s="7" t="s">
        <v>2895</v>
      </c>
      <c r="S35" s="7" t="s">
        <v>2895</v>
      </c>
      <c r="T35" s="7" t="s">
        <v>2895</v>
      </c>
    </row>
    <row r="36" spans="1:20" ht="143">
      <c r="A36" s="7"/>
      <c r="B36" s="7"/>
      <c r="C36" s="7"/>
      <c r="D36" s="7"/>
      <c r="E36" s="7"/>
      <c r="F36" s="7"/>
      <c r="G36" s="7"/>
      <c r="H36" s="7"/>
      <c r="I36" s="7"/>
      <c r="J36" s="7"/>
      <c r="K36" s="7"/>
      <c r="L36" s="7"/>
      <c r="M36" s="7"/>
      <c r="N36" s="7"/>
      <c r="O36" s="7"/>
      <c r="P36" s="7"/>
      <c r="Q36" s="7"/>
      <c r="S36" s="7" t="s">
        <v>3644</v>
      </c>
      <c r="T36" s="7" t="s">
        <v>3643</v>
      </c>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pane xSplit="4200" topLeftCell="F1"/>
      <selection pane="topRight" activeCell="H36" sqref="H36"/>
    </sheetView>
  </sheetViews>
  <sheetFormatPr baseColWidth="10" defaultRowHeight="13" x14ac:dyDescent="0"/>
  <cols>
    <col min="1" max="1" width="15.140625" style="3" customWidth="1"/>
    <col min="2" max="3" width="5.7109375" style="3" customWidth="1"/>
    <col min="4" max="13" width="10.7109375" style="3"/>
  </cols>
  <sheetData>
    <row r="1" spans="1:18">
      <c r="A1" s="184" t="s">
        <v>2404</v>
      </c>
    </row>
    <row r="2" spans="1:18">
      <c r="A2" s="1" t="s">
        <v>614</v>
      </c>
      <c r="B2" s="1"/>
      <c r="C2" s="1"/>
      <c r="D2" s="1"/>
      <c r="E2" s="1" t="s">
        <v>1468</v>
      </c>
      <c r="F2" s="1" t="s">
        <v>1468</v>
      </c>
      <c r="G2" s="1" t="s">
        <v>1468</v>
      </c>
      <c r="H2" s="1" t="s">
        <v>1468</v>
      </c>
      <c r="I2" s="1" t="s">
        <v>1468</v>
      </c>
      <c r="J2" s="1" t="s">
        <v>1468</v>
      </c>
      <c r="K2" s="1" t="s">
        <v>1309</v>
      </c>
      <c r="L2" s="1" t="s">
        <v>1468</v>
      </c>
      <c r="M2" s="1" t="s">
        <v>1468</v>
      </c>
      <c r="N2" s="1" t="s">
        <v>1468</v>
      </c>
      <c r="O2" s="1" t="s">
        <v>1468</v>
      </c>
      <c r="P2" s="1" t="s">
        <v>1468</v>
      </c>
      <c r="Q2" s="1" t="s">
        <v>1468</v>
      </c>
      <c r="R2" s="1" t="s">
        <v>1468</v>
      </c>
    </row>
    <row r="3" spans="1:18">
      <c r="A3" s="1" t="s">
        <v>518</v>
      </c>
      <c r="B3" s="1"/>
      <c r="C3" s="1"/>
      <c r="D3" s="1"/>
      <c r="E3" s="1" t="s">
        <v>1588</v>
      </c>
      <c r="F3" s="1" t="s">
        <v>1588</v>
      </c>
      <c r="G3" s="1" t="s">
        <v>1588</v>
      </c>
      <c r="H3" s="1" t="s">
        <v>1588</v>
      </c>
      <c r="I3" s="1" t="s">
        <v>1588</v>
      </c>
      <c r="J3" s="1" t="s">
        <v>1588</v>
      </c>
      <c r="K3" s="1" t="s">
        <v>1588</v>
      </c>
      <c r="L3" s="1" t="s">
        <v>1588</v>
      </c>
      <c r="M3" s="1" t="s">
        <v>1588</v>
      </c>
      <c r="N3" s="1" t="s">
        <v>1588</v>
      </c>
      <c r="O3" s="1" t="s">
        <v>1588</v>
      </c>
      <c r="P3" s="1" t="s">
        <v>1588</v>
      </c>
      <c r="Q3" s="1" t="s">
        <v>1588</v>
      </c>
      <c r="R3" s="1" t="s">
        <v>1588</v>
      </c>
    </row>
    <row r="4" spans="1:18" ht="22">
      <c r="A4" s="1" t="s">
        <v>736</v>
      </c>
      <c r="B4" s="1"/>
      <c r="C4" s="1"/>
      <c r="D4" s="1"/>
      <c r="E4" s="1" t="s">
        <v>1987</v>
      </c>
      <c r="F4" s="1" t="s">
        <v>1987</v>
      </c>
      <c r="G4" s="1" t="s">
        <v>1987</v>
      </c>
      <c r="H4" s="1" t="s">
        <v>3656</v>
      </c>
      <c r="I4" s="1" t="s">
        <v>1987</v>
      </c>
      <c r="J4" s="1" t="s">
        <v>1987</v>
      </c>
      <c r="K4" s="1" t="s">
        <v>1987</v>
      </c>
      <c r="L4" s="1" t="s">
        <v>1987</v>
      </c>
      <c r="M4" s="1" t="s">
        <v>1987</v>
      </c>
      <c r="N4" s="1" t="s">
        <v>1987</v>
      </c>
      <c r="O4" s="1" t="s">
        <v>1987</v>
      </c>
      <c r="P4" s="1" t="s">
        <v>1987</v>
      </c>
      <c r="Q4" s="1"/>
      <c r="R4" s="1"/>
    </row>
    <row r="5" spans="1:18">
      <c r="A5" s="1" t="s">
        <v>737</v>
      </c>
      <c r="B5" s="1"/>
      <c r="C5" s="1"/>
      <c r="D5" s="1"/>
      <c r="E5" s="1" t="s">
        <v>1545</v>
      </c>
      <c r="F5" s="1" t="s">
        <v>1802</v>
      </c>
      <c r="G5" s="1" t="s">
        <v>3655</v>
      </c>
      <c r="H5" s="1" t="s">
        <v>1802</v>
      </c>
      <c r="I5" s="1" t="s">
        <v>1802</v>
      </c>
      <c r="J5" s="1" t="s">
        <v>1802</v>
      </c>
      <c r="K5" s="1" t="s">
        <v>3330</v>
      </c>
      <c r="L5" s="1" t="s">
        <v>1802</v>
      </c>
      <c r="M5" s="1" t="s">
        <v>1802</v>
      </c>
      <c r="N5" s="1" t="s">
        <v>1802</v>
      </c>
      <c r="O5" s="1" t="s">
        <v>2132</v>
      </c>
      <c r="P5" s="1" t="s">
        <v>2132</v>
      </c>
      <c r="Q5" s="1" t="s">
        <v>2133</v>
      </c>
      <c r="R5" s="1" t="s">
        <v>2133</v>
      </c>
    </row>
    <row r="6" spans="1:18">
      <c r="A6" s="42" t="s">
        <v>560</v>
      </c>
      <c r="B6" s="42"/>
      <c r="C6" s="42"/>
      <c r="D6" s="42"/>
      <c r="E6" s="42"/>
      <c r="F6" s="42"/>
      <c r="G6" s="42"/>
      <c r="H6" s="42"/>
      <c r="I6" s="42"/>
      <c r="J6" s="42"/>
      <c r="K6" s="42"/>
      <c r="L6" s="42"/>
      <c r="M6" s="42" t="s">
        <v>2118</v>
      </c>
      <c r="N6" s="42">
        <v>2014</v>
      </c>
      <c r="O6" s="42">
        <v>2014</v>
      </c>
      <c r="P6" s="42">
        <v>2014</v>
      </c>
      <c r="Q6" s="42">
        <v>2014</v>
      </c>
      <c r="R6" s="42">
        <v>2014</v>
      </c>
    </row>
    <row r="7" spans="1:18" ht="99">
      <c r="A7" s="7" t="s">
        <v>3334</v>
      </c>
      <c r="B7" s="1"/>
      <c r="C7" s="1"/>
      <c r="D7" s="1"/>
      <c r="E7" s="1" t="s">
        <v>1574</v>
      </c>
      <c r="F7" s="1" t="s">
        <v>1803</v>
      </c>
      <c r="G7" s="1" t="s">
        <v>1803</v>
      </c>
      <c r="H7" s="1" t="s">
        <v>3653</v>
      </c>
      <c r="I7" s="1" t="s">
        <v>1804</v>
      </c>
      <c r="J7" s="1" t="s">
        <v>1807</v>
      </c>
      <c r="K7" s="1" t="s">
        <v>3331</v>
      </c>
      <c r="L7" s="1" t="s">
        <v>1805</v>
      </c>
      <c r="M7" s="1" t="s">
        <v>1806</v>
      </c>
      <c r="N7" s="1" t="s">
        <v>1806</v>
      </c>
      <c r="O7" s="104" t="s">
        <v>2131</v>
      </c>
      <c r="P7" s="104" t="s">
        <v>2130</v>
      </c>
      <c r="Q7" s="104" t="s">
        <v>2119</v>
      </c>
      <c r="R7" s="104" t="s">
        <v>2120</v>
      </c>
    </row>
    <row r="8" spans="1:18">
      <c r="A8" s="9" t="s">
        <v>572</v>
      </c>
      <c r="B8" s="9" t="s">
        <v>770</v>
      </c>
      <c r="C8" s="9" t="s">
        <v>771</v>
      </c>
      <c r="D8" s="9" t="s">
        <v>772</v>
      </c>
      <c r="E8" s="9" t="s">
        <v>2114</v>
      </c>
      <c r="F8" s="9" t="s">
        <v>2115</v>
      </c>
      <c r="G8" s="9" t="s">
        <v>2116</v>
      </c>
      <c r="H8" s="9" t="s">
        <v>3654</v>
      </c>
      <c r="I8" s="9" t="s">
        <v>2117</v>
      </c>
      <c r="J8" s="9" t="s">
        <v>3239</v>
      </c>
      <c r="K8" s="9" t="s">
        <v>3332</v>
      </c>
      <c r="L8" s="9" t="s">
        <v>3240</v>
      </c>
      <c r="M8" s="9" t="s">
        <v>2408</v>
      </c>
      <c r="N8" s="105" t="s">
        <v>2409</v>
      </c>
      <c r="O8" s="105" t="s">
        <v>2121</v>
      </c>
      <c r="P8" s="105" t="s">
        <v>2122</v>
      </c>
      <c r="Q8" s="105" t="s">
        <v>2123</v>
      </c>
      <c r="R8" s="105" t="s">
        <v>2124</v>
      </c>
    </row>
    <row r="9" spans="1:18">
      <c r="A9" s="3" t="s">
        <v>850</v>
      </c>
      <c r="B9" s="3" t="s">
        <v>851</v>
      </c>
      <c r="C9" s="3">
        <v>1</v>
      </c>
      <c r="D9" s="3" t="s">
        <v>759</v>
      </c>
      <c r="E9" s="58" t="s">
        <v>1579</v>
      </c>
      <c r="F9" s="94">
        <v>33557</v>
      </c>
      <c r="G9" s="94">
        <v>34035</v>
      </c>
      <c r="H9" s="94">
        <v>34035</v>
      </c>
      <c r="I9" s="80">
        <v>1997</v>
      </c>
      <c r="J9" s="80">
        <v>1997</v>
      </c>
      <c r="K9" s="80">
        <v>1998</v>
      </c>
      <c r="L9" s="80">
        <v>1</v>
      </c>
      <c r="M9" s="80">
        <v>30</v>
      </c>
      <c r="N9" s="130">
        <v>30</v>
      </c>
      <c r="O9" s="95">
        <v>1</v>
      </c>
      <c r="P9" s="95">
        <v>1</v>
      </c>
      <c r="Q9" s="80">
        <v>28.260869565217391</v>
      </c>
      <c r="R9" s="121">
        <f t="shared" ref="R9:R32" si="0">Q9-N9</f>
        <v>-1.7391304347826093</v>
      </c>
    </row>
    <row r="10" spans="1:18">
      <c r="A10" s="3" t="s">
        <v>667</v>
      </c>
      <c r="B10" s="3" t="s">
        <v>668</v>
      </c>
      <c r="C10" s="3">
        <v>2</v>
      </c>
      <c r="D10" s="3" t="s">
        <v>759</v>
      </c>
      <c r="E10" s="58" t="s">
        <v>1578</v>
      </c>
      <c r="F10" s="94">
        <v>33877</v>
      </c>
      <c r="G10" s="94">
        <v>33877</v>
      </c>
      <c r="H10" s="94">
        <v>33877</v>
      </c>
      <c r="I10" s="80">
        <v>1996</v>
      </c>
      <c r="J10" s="80">
        <v>1996</v>
      </c>
      <c r="K10" s="80">
        <v>1998</v>
      </c>
      <c r="L10" s="80">
        <v>1</v>
      </c>
      <c r="M10" s="80">
        <v>30</v>
      </c>
      <c r="N10" s="130">
        <v>30</v>
      </c>
      <c r="O10" s="95">
        <v>1</v>
      </c>
      <c r="P10" s="95">
        <v>1</v>
      </c>
      <c r="Q10" s="80">
        <v>38.333333333333336</v>
      </c>
      <c r="R10" s="121">
        <f t="shared" si="0"/>
        <v>8.3333333333333357</v>
      </c>
    </row>
    <row r="11" spans="1:18">
      <c r="A11" s="3" t="s">
        <v>669</v>
      </c>
      <c r="B11" s="3" t="s">
        <v>663</v>
      </c>
      <c r="C11" s="3">
        <v>3</v>
      </c>
      <c r="D11" s="3" t="s">
        <v>664</v>
      </c>
      <c r="E11" s="58" t="s">
        <v>1577</v>
      </c>
      <c r="F11" s="94">
        <v>34159</v>
      </c>
      <c r="G11" s="94">
        <v>34159</v>
      </c>
      <c r="H11" s="94">
        <v>34159</v>
      </c>
      <c r="I11" s="80">
        <v>1999</v>
      </c>
      <c r="J11" s="80">
        <v>1999</v>
      </c>
      <c r="K11" s="80">
        <v>2000</v>
      </c>
      <c r="L11" s="80">
        <v>1</v>
      </c>
      <c r="M11" s="80">
        <v>30</v>
      </c>
      <c r="N11" s="130">
        <v>30</v>
      </c>
      <c r="O11" s="95">
        <v>1</v>
      </c>
      <c r="P11" s="95">
        <v>1</v>
      </c>
      <c r="Q11" s="80">
        <v>34.146341463414636</v>
      </c>
      <c r="R11" s="121">
        <f t="shared" si="0"/>
        <v>4.1463414634146361</v>
      </c>
    </row>
    <row r="12" spans="1:18">
      <c r="A12" s="3" t="s">
        <v>665</v>
      </c>
      <c r="B12" s="3" t="s">
        <v>640</v>
      </c>
      <c r="C12" s="3">
        <v>4</v>
      </c>
      <c r="D12" s="3" t="s">
        <v>641</v>
      </c>
      <c r="E12" s="131" t="s">
        <v>1630</v>
      </c>
      <c r="F12" s="132">
        <v>32632</v>
      </c>
      <c r="G12" s="132">
        <v>32632</v>
      </c>
      <c r="H12" s="132">
        <v>32632</v>
      </c>
      <c r="I12" s="80">
        <v>1993</v>
      </c>
      <c r="J12" s="80">
        <v>1993</v>
      </c>
      <c r="K12" s="80">
        <v>1994</v>
      </c>
      <c r="L12" s="80">
        <v>1</v>
      </c>
      <c r="M12" s="80">
        <v>30</v>
      </c>
      <c r="N12" s="130">
        <v>30</v>
      </c>
      <c r="O12" s="95">
        <v>1</v>
      </c>
      <c r="P12" s="95">
        <v>1</v>
      </c>
      <c r="Q12" s="80">
        <v>40.625</v>
      </c>
      <c r="R12" s="121">
        <f t="shared" si="0"/>
        <v>10.625</v>
      </c>
    </row>
    <row r="13" spans="1:18">
      <c r="A13" s="3" t="s">
        <v>539</v>
      </c>
      <c r="B13" s="3" t="s">
        <v>540</v>
      </c>
      <c r="C13" s="3">
        <v>5</v>
      </c>
      <c r="D13" s="3" t="s">
        <v>541</v>
      </c>
      <c r="E13" s="131">
        <v>1999</v>
      </c>
      <c r="F13" s="132">
        <v>33285</v>
      </c>
      <c r="G13" s="132">
        <v>33285</v>
      </c>
      <c r="H13" s="132">
        <v>33285</v>
      </c>
      <c r="I13" s="80">
        <v>1995</v>
      </c>
      <c r="J13" s="80">
        <v>1995</v>
      </c>
      <c r="K13" s="80">
        <v>1996</v>
      </c>
      <c r="L13" s="80">
        <v>1</v>
      </c>
      <c r="M13" s="80">
        <v>30</v>
      </c>
      <c r="N13" s="130">
        <v>30</v>
      </c>
      <c r="O13" s="95">
        <v>1</v>
      </c>
      <c r="P13" s="95">
        <v>1</v>
      </c>
      <c r="Q13" s="80">
        <v>33.333333333333329</v>
      </c>
      <c r="R13" s="121">
        <f t="shared" si="0"/>
        <v>3.3333333333333286</v>
      </c>
    </row>
    <row r="14" spans="1:18">
      <c r="A14" s="3" t="s">
        <v>542</v>
      </c>
      <c r="B14" s="3" t="s">
        <v>543</v>
      </c>
      <c r="C14" s="3">
        <v>6</v>
      </c>
      <c r="D14" s="3" t="s">
        <v>759</v>
      </c>
      <c r="E14" s="131" t="s">
        <v>1576</v>
      </c>
      <c r="F14" s="132">
        <v>32934</v>
      </c>
      <c r="G14" s="132">
        <v>32934</v>
      </c>
      <c r="H14" s="132">
        <v>35410</v>
      </c>
      <c r="I14" s="80">
        <v>1995</v>
      </c>
      <c r="J14" s="80">
        <v>2001</v>
      </c>
      <c r="K14" s="80">
        <v>1996</v>
      </c>
      <c r="L14" s="80" t="s">
        <v>1810</v>
      </c>
      <c r="M14" s="80" t="s">
        <v>1808</v>
      </c>
      <c r="N14" s="130">
        <v>50</v>
      </c>
      <c r="O14" s="95">
        <v>1</v>
      </c>
      <c r="P14" s="95">
        <v>1</v>
      </c>
      <c r="Q14" s="80">
        <v>41.428571428571431</v>
      </c>
      <c r="R14" s="121">
        <f t="shared" si="0"/>
        <v>-8.5714285714285694</v>
      </c>
    </row>
    <row r="15" spans="1:18">
      <c r="A15" s="3" t="s">
        <v>628</v>
      </c>
      <c r="B15" s="3" t="s">
        <v>629</v>
      </c>
      <c r="C15" s="3">
        <v>7</v>
      </c>
      <c r="D15" s="3" t="s">
        <v>641</v>
      </c>
      <c r="E15" s="131" t="s">
        <v>1631</v>
      </c>
      <c r="F15" s="132">
        <v>32471</v>
      </c>
      <c r="G15" s="132">
        <v>32471</v>
      </c>
      <c r="H15" s="132">
        <v>36321</v>
      </c>
      <c r="I15" s="80">
        <v>1993</v>
      </c>
      <c r="J15" s="80">
        <v>2003</v>
      </c>
      <c r="K15" s="80">
        <v>1994</v>
      </c>
      <c r="L15" s="80" t="s">
        <v>1810</v>
      </c>
      <c r="M15" s="80">
        <v>30</v>
      </c>
      <c r="N15" s="130">
        <v>30</v>
      </c>
      <c r="O15" s="95">
        <v>1</v>
      </c>
      <c r="P15" s="95">
        <v>1</v>
      </c>
      <c r="Q15" s="80">
        <v>30</v>
      </c>
      <c r="R15" s="121">
        <f t="shared" si="0"/>
        <v>0</v>
      </c>
    </row>
    <row r="16" spans="1:18">
      <c r="A16" s="3" t="s">
        <v>630</v>
      </c>
      <c r="B16" s="3" t="s">
        <v>631</v>
      </c>
      <c r="C16" s="3">
        <v>8</v>
      </c>
      <c r="D16" s="3" t="s">
        <v>759</v>
      </c>
      <c r="E16" s="131"/>
      <c r="F16" s="132"/>
      <c r="G16" s="132">
        <v>39142</v>
      </c>
      <c r="H16" s="132"/>
      <c r="I16" s="80">
        <v>2011</v>
      </c>
      <c r="J16" s="80">
        <v>2011</v>
      </c>
      <c r="K16" s="80">
        <v>2012</v>
      </c>
      <c r="L16" s="80">
        <v>0</v>
      </c>
      <c r="M16" s="80">
        <v>25</v>
      </c>
      <c r="N16" s="130">
        <v>25</v>
      </c>
      <c r="O16" s="95">
        <v>1</v>
      </c>
      <c r="P16" s="95">
        <v>1</v>
      </c>
      <c r="Q16" s="80">
        <v>23.52941176470588</v>
      </c>
      <c r="R16" s="121">
        <f t="shared" si="0"/>
        <v>-1.4705882352941195</v>
      </c>
    </row>
    <row r="17" spans="1:18">
      <c r="A17" s="3" t="s">
        <v>632</v>
      </c>
      <c r="B17" s="3" t="s">
        <v>633</v>
      </c>
      <c r="C17" s="3">
        <v>9</v>
      </c>
      <c r="D17" s="3" t="s">
        <v>641</v>
      </c>
      <c r="E17" s="131" t="s">
        <v>1691</v>
      </c>
      <c r="F17" s="132">
        <v>33444</v>
      </c>
      <c r="G17" s="132">
        <v>33444</v>
      </c>
      <c r="H17" s="132">
        <v>33444</v>
      </c>
      <c r="I17" s="80">
        <v>1997</v>
      </c>
      <c r="J17" s="80">
        <v>1997</v>
      </c>
      <c r="K17" s="80">
        <v>1998</v>
      </c>
      <c r="L17" s="80">
        <v>1</v>
      </c>
      <c r="M17" s="80">
        <v>33</v>
      </c>
      <c r="N17" s="130">
        <v>33</v>
      </c>
      <c r="O17" s="95">
        <v>1</v>
      </c>
      <c r="P17" s="95">
        <v>1</v>
      </c>
      <c r="Q17" s="80">
        <v>33.333333333333329</v>
      </c>
      <c r="R17" s="121">
        <f t="shared" si="0"/>
        <v>0.3333333333333286</v>
      </c>
    </row>
    <row r="18" spans="1:18">
      <c r="A18" s="3" t="s">
        <v>634</v>
      </c>
      <c r="B18" s="3" t="s">
        <v>715</v>
      </c>
      <c r="C18" s="3">
        <v>10</v>
      </c>
      <c r="D18" s="3" t="s">
        <v>664</v>
      </c>
      <c r="E18" s="131"/>
      <c r="F18" s="132">
        <v>39045</v>
      </c>
      <c r="G18" s="132">
        <v>39045</v>
      </c>
      <c r="H18" s="132">
        <v>39045</v>
      </c>
      <c r="I18" s="80">
        <v>2011</v>
      </c>
      <c r="J18" s="80">
        <v>2011</v>
      </c>
      <c r="K18" s="80">
        <v>2012</v>
      </c>
      <c r="L18" s="80">
        <v>0</v>
      </c>
      <c r="M18" s="80">
        <v>33</v>
      </c>
      <c r="N18" s="130">
        <v>33</v>
      </c>
      <c r="O18" s="95">
        <v>1</v>
      </c>
      <c r="P18" s="95">
        <v>1</v>
      </c>
      <c r="Q18" s="80">
        <v>35.416666666666671</v>
      </c>
      <c r="R18" s="121">
        <f t="shared" si="0"/>
        <v>2.4166666666666714</v>
      </c>
    </row>
    <row r="19" spans="1:18">
      <c r="A19" s="3" t="s">
        <v>716</v>
      </c>
      <c r="B19" s="3" t="s">
        <v>717</v>
      </c>
      <c r="C19" s="3">
        <v>11</v>
      </c>
      <c r="D19" s="3" t="s">
        <v>541</v>
      </c>
      <c r="E19" s="131" t="s">
        <v>1690</v>
      </c>
      <c r="F19" s="132">
        <v>33207</v>
      </c>
      <c r="G19" s="132">
        <v>33207</v>
      </c>
      <c r="H19" s="132">
        <v>33207</v>
      </c>
      <c r="I19" s="80">
        <v>1995</v>
      </c>
      <c r="J19" s="80">
        <v>1995</v>
      </c>
      <c r="K19" s="80">
        <v>1996</v>
      </c>
      <c r="L19" s="80">
        <v>1</v>
      </c>
      <c r="M19" s="80">
        <v>30</v>
      </c>
      <c r="N19" s="130">
        <v>30</v>
      </c>
      <c r="O19" s="95">
        <v>1</v>
      </c>
      <c r="P19" s="95">
        <v>1</v>
      </c>
      <c r="Q19" s="80">
        <v>30</v>
      </c>
      <c r="R19" s="121">
        <f t="shared" si="0"/>
        <v>0</v>
      </c>
    </row>
    <row r="20" spans="1:18">
      <c r="A20" s="3" t="s">
        <v>718</v>
      </c>
      <c r="B20" s="3" t="s">
        <v>719</v>
      </c>
      <c r="C20" s="3">
        <v>12</v>
      </c>
      <c r="D20" s="3" t="s">
        <v>664</v>
      </c>
      <c r="E20" s="131" t="s">
        <v>1630</v>
      </c>
      <c r="F20" s="132">
        <v>32269</v>
      </c>
      <c r="G20" s="132">
        <v>32269</v>
      </c>
      <c r="H20" s="132">
        <v>32269</v>
      </c>
      <c r="I20" s="80">
        <v>1993</v>
      </c>
      <c r="J20" s="80">
        <v>1993</v>
      </c>
      <c r="K20" s="80">
        <v>1994</v>
      </c>
      <c r="L20" s="80">
        <v>1</v>
      </c>
      <c r="M20" s="80">
        <v>30</v>
      </c>
      <c r="N20" s="130">
        <v>30</v>
      </c>
      <c r="O20" s="95">
        <v>1</v>
      </c>
      <c r="P20" s="95">
        <v>1</v>
      </c>
      <c r="Q20" s="80">
        <v>27.777777777777779</v>
      </c>
      <c r="R20" s="121">
        <f t="shared" si="0"/>
        <v>-2.2222222222222214</v>
      </c>
    </row>
    <row r="21" spans="1:18">
      <c r="A21" s="3" t="s">
        <v>711</v>
      </c>
      <c r="B21" s="3" t="s">
        <v>712</v>
      </c>
      <c r="C21" s="3">
        <v>13</v>
      </c>
      <c r="D21" s="3" t="s">
        <v>713</v>
      </c>
      <c r="E21" s="131" t="s">
        <v>1689</v>
      </c>
      <c r="F21" s="132">
        <v>32360</v>
      </c>
      <c r="G21" s="132">
        <v>32360</v>
      </c>
      <c r="H21" s="132">
        <v>35664</v>
      </c>
      <c r="I21" s="80">
        <v>1993</v>
      </c>
      <c r="J21" s="80">
        <v>2001</v>
      </c>
      <c r="K21" s="80">
        <v>1994</v>
      </c>
      <c r="L21" s="80" t="s">
        <v>1810</v>
      </c>
      <c r="M21" s="80">
        <v>30</v>
      </c>
      <c r="N21" s="130">
        <v>30</v>
      </c>
      <c r="O21" s="95">
        <v>1</v>
      </c>
      <c r="P21" s="95">
        <v>1</v>
      </c>
      <c r="Q21" s="80">
        <v>29.166666666666668</v>
      </c>
      <c r="R21" s="121">
        <f t="shared" si="0"/>
        <v>-0.83333333333333215</v>
      </c>
    </row>
    <row r="22" spans="1:18">
      <c r="A22" s="3" t="s">
        <v>714</v>
      </c>
      <c r="B22" s="3" t="s">
        <v>530</v>
      </c>
      <c r="C22" s="3">
        <v>14</v>
      </c>
      <c r="D22" s="3" t="s">
        <v>641</v>
      </c>
      <c r="E22" s="131" t="s">
        <v>1688</v>
      </c>
      <c r="F22" s="132">
        <v>32625</v>
      </c>
      <c r="G22" s="132">
        <v>32625</v>
      </c>
      <c r="H22" s="132">
        <v>32625</v>
      </c>
      <c r="I22" s="80">
        <v>1993</v>
      </c>
      <c r="J22" s="80">
        <v>1993</v>
      </c>
      <c r="K22" s="80">
        <v>1994</v>
      </c>
      <c r="L22" s="80">
        <v>1</v>
      </c>
      <c r="M22" s="80">
        <v>30</v>
      </c>
      <c r="N22" s="130">
        <v>30</v>
      </c>
      <c r="O22" s="95">
        <v>1</v>
      </c>
      <c r="P22" s="95">
        <v>1</v>
      </c>
      <c r="Q22" s="80">
        <v>30</v>
      </c>
      <c r="R22" s="121">
        <f t="shared" si="0"/>
        <v>0</v>
      </c>
    </row>
    <row r="23" spans="1:18">
      <c r="A23" s="3" t="s">
        <v>620</v>
      </c>
      <c r="B23" s="3" t="s">
        <v>621</v>
      </c>
      <c r="C23" s="3">
        <v>15</v>
      </c>
      <c r="D23" s="3" t="s">
        <v>541</v>
      </c>
      <c r="E23" s="131" t="s">
        <v>1667</v>
      </c>
      <c r="F23" s="132">
        <v>33670</v>
      </c>
      <c r="G23" s="132">
        <v>33670</v>
      </c>
      <c r="H23" s="132">
        <v>33670</v>
      </c>
      <c r="I23" s="103" t="s">
        <v>1989</v>
      </c>
      <c r="J23" s="103" t="s">
        <v>1989</v>
      </c>
      <c r="K23" s="103">
        <v>2000</v>
      </c>
      <c r="L23" s="80">
        <v>1</v>
      </c>
      <c r="M23" s="80">
        <v>30</v>
      </c>
      <c r="N23" s="130">
        <v>30</v>
      </c>
      <c r="O23" s="95">
        <v>1</v>
      </c>
      <c r="P23" s="95">
        <v>1</v>
      </c>
      <c r="Q23" s="80">
        <v>25.714285714285712</v>
      </c>
      <c r="R23" s="121">
        <f t="shared" si="0"/>
        <v>-4.2857142857142883</v>
      </c>
    </row>
    <row r="24" spans="1:18">
      <c r="A24" s="3" t="s">
        <v>622</v>
      </c>
      <c r="B24" s="3" t="s">
        <v>925</v>
      </c>
      <c r="C24" s="3">
        <v>16</v>
      </c>
      <c r="D24" s="3" t="s">
        <v>541</v>
      </c>
      <c r="E24" s="131" t="s">
        <v>1641</v>
      </c>
      <c r="F24" s="132">
        <v>32675</v>
      </c>
      <c r="G24" s="132">
        <v>32675</v>
      </c>
      <c r="H24" s="132">
        <v>36145</v>
      </c>
      <c r="I24" s="103" t="s">
        <v>1990</v>
      </c>
      <c r="J24" s="80">
        <v>2003</v>
      </c>
      <c r="K24" s="80">
        <v>1996</v>
      </c>
      <c r="L24" s="80" t="s">
        <v>1810</v>
      </c>
      <c r="M24" s="80" t="s">
        <v>1809</v>
      </c>
      <c r="N24" s="130">
        <v>50</v>
      </c>
      <c r="O24" s="95">
        <v>1</v>
      </c>
      <c r="P24" s="95">
        <v>1</v>
      </c>
      <c r="Q24" s="80">
        <v>39.130434782608695</v>
      </c>
      <c r="R24" s="121">
        <f t="shared" si="0"/>
        <v>-10.869565217391305</v>
      </c>
    </row>
    <row r="25" spans="1:18">
      <c r="A25" s="3" t="s">
        <v>926</v>
      </c>
      <c r="B25" s="3" t="s">
        <v>927</v>
      </c>
      <c r="C25" s="3">
        <v>17</v>
      </c>
      <c r="D25" s="3" t="s">
        <v>664</v>
      </c>
      <c r="E25" s="131" t="s">
        <v>1640</v>
      </c>
      <c r="F25" s="132">
        <v>33235</v>
      </c>
      <c r="G25" s="132">
        <v>33235</v>
      </c>
      <c r="H25" s="132">
        <v>33235</v>
      </c>
      <c r="I25" s="80">
        <v>1995</v>
      </c>
      <c r="J25" s="80">
        <v>1995</v>
      </c>
      <c r="K25" s="80">
        <v>1996</v>
      </c>
      <c r="L25" s="80">
        <v>1</v>
      </c>
      <c r="M25" s="80">
        <v>30</v>
      </c>
      <c r="N25" s="130">
        <v>30</v>
      </c>
      <c r="O25" s="95">
        <v>1</v>
      </c>
      <c r="P25" s="95">
        <v>1</v>
      </c>
      <c r="Q25" s="80">
        <v>23.333333333333332</v>
      </c>
      <c r="R25" s="121">
        <f t="shared" si="0"/>
        <v>-6.6666666666666679</v>
      </c>
    </row>
    <row r="26" spans="1:18">
      <c r="A26" s="3" t="s">
        <v>928</v>
      </c>
      <c r="B26" s="3" t="s">
        <v>929</v>
      </c>
      <c r="C26" s="3">
        <v>18</v>
      </c>
      <c r="D26" s="3" t="s">
        <v>713</v>
      </c>
      <c r="E26" s="131" t="s">
        <v>1639</v>
      </c>
      <c r="F26" s="132">
        <v>33158</v>
      </c>
      <c r="G26" s="132">
        <v>33158</v>
      </c>
      <c r="H26" s="132">
        <v>33158</v>
      </c>
      <c r="I26" s="80">
        <v>1995</v>
      </c>
      <c r="J26" s="80"/>
      <c r="K26" s="80">
        <v>1996</v>
      </c>
      <c r="L26" s="80">
        <v>0</v>
      </c>
      <c r="M26" s="80">
        <v>30</v>
      </c>
      <c r="N26" s="130">
        <v>30</v>
      </c>
      <c r="O26" s="95">
        <v>0</v>
      </c>
      <c r="P26" s="95">
        <v>1</v>
      </c>
      <c r="Q26" s="80">
        <v>23.52941176470588</v>
      </c>
      <c r="R26" s="121">
        <f t="shared" si="0"/>
        <v>-6.4705882352941195</v>
      </c>
    </row>
    <row r="27" spans="1:18">
      <c r="A27" s="3" t="s">
        <v>841</v>
      </c>
      <c r="B27" s="3" t="s">
        <v>659</v>
      </c>
      <c r="C27" s="3">
        <v>19</v>
      </c>
      <c r="D27" s="3" t="s">
        <v>713</v>
      </c>
      <c r="E27" s="131" t="s">
        <v>1632</v>
      </c>
      <c r="F27" s="132">
        <v>34058</v>
      </c>
      <c r="G27" s="132">
        <v>34058</v>
      </c>
      <c r="H27" s="132">
        <v>34058</v>
      </c>
      <c r="I27" s="80">
        <v>1997</v>
      </c>
      <c r="J27" s="80">
        <v>1997</v>
      </c>
      <c r="K27" s="80">
        <v>1998</v>
      </c>
      <c r="L27" s="80">
        <v>1</v>
      </c>
      <c r="M27" s="80">
        <v>30</v>
      </c>
      <c r="N27" s="130">
        <v>30</v>
      </c>
      <c r="O27" s="95">
        <v>1</v>
      </c>
      <c r="P27" s="95">
        <v>1</v>
      </c>
      <c r="Q27" s="80">
        <v>27.906976744186046</v>
      </c>
      <c r="R27" s="121">
        <f t="shared" si="0"/>
        <v>-2.0930232558139537</v>
      </c>
    </row>
    <row r="28" spans="1:18">
      <c r="A28" s="3" t="s">
        <v>660</v>
      </c>
      <c r="B28" s="3" t="s">
        <v>661</v>
      </c>
      <c r="C28" s="3">
        <v>20</v>
      </c>
      <c r="D28" s="3" t="s">
        <v>541</v>
      </c>
      <c r="E28" s="131" t="s">
        <v>1631</v>
      </c>
      <c r="F28" s="132">
        <v>32444</v>
      </c>
      <c r="G28" s="132">
        <v>32444</v>
      </c>
      <c r="H28" s="132">
        <v>32444</v>
      </c>
      <c r="I28" s="80">
        <v>1993</v>
      </c>
      <c r="J28" s="80">
        <v>1993</v>
      </c>
      <c r="K28" s="80">
        <v>1994</v>
      </c>
      <c r="L28" s="80">
        <v>1</v>
      </c>
      <c r="M28" s="80">
        <v>30</v>
      </c>
      <c r="N28" s="130">
        <v>30</v>
      </c>
      <c r="O28" s="95">
        <v>1</v>
      </c>
      <c r="P28" s="95">
        <v>1</v>
      </c>
      <c r="Q28" s="80">
        <v>16.666666666666664</v>
      </c>
      <c r="R28" s="121">
        <f t="shared" si="0"/>
        <v>-13.333333333333336</v>
      </c>
    </row>
    <row r="29" spans="1:18">
      <c r="A29" s="3" t="s">
        <v>80</v>
      </c>
      <c r="B29" s="3" t="s">
        <v>747</v>
      </c>
      <c r="C29" s="3">
        <v>21</v>
      </c>
      <c r="D29" s="3" t="s">
        <v>759</v>
      </c>
      <c r="E29" s="131" t="s">
        <v>1630</v>
      </c>
      <c r="F29" s="132">
        <v>32269</v>
      </c>
      <c r="G29" s="132">
        <v>32269</v>
      </c>
      <c r="H29" s="132">
        <v>32269</v>
      </c>
      <c r="I29" s="103" t="s">
        <v>1991</v>
      </c>
      <c r="J29" s="103" t="s">
        <v>1990</v>
      </c>
      <c r="K29" s="103">
        <v>1996</v>
      </c>
      <c r="L29" s="80">
        <v>1</v>
      </c>
      <c r="M29" s="80">
        <v>33</v>
      </c>
      <c r="N29" s="130">
        <v>33</v>
      </c>
      <c r="O29" s="95">
        <v>1</v>
      </c>
      <c r="P29" s="95">
        <v>1</v>
      </c>
      <c r="Q29" s="80">
        <v>32</v>
      </c>
      <c r="R29" s="121">
        <f t="shared" si="0"/>
        <v>-1</v>
      </c>
    </row>
    <row r="30" spans="1:18">
      <c r="A30" s="3" t="s">
        <v>721</v>
      </c>
      <c r="B30" s="3" t="s">
        <v>722</v>
      </c>
      <c r="C30" s="3">
        <v>22</v>
      </c>
      <c r="D30" s="3" t="s">
        <v>664</v>
      </c>
      <c r="E30" s="131" t="s">
        <v>2187</v>
      </c>
      <c r="F30" s="132">
        <v>35312</v>
      </c>
      <c r="G30" s="132">
        <v>35312</v>
      </c>
      <c r="H30" s="132">
        <v>35312</v>
      </c>
      <c r="I30" s="80">
        <v>2001</v>
      </c>
      <c r="J30" s="80">
        <v>2001</v>
      </c>
      <c r="K30" s="80">
        <v>2002</v>
      </c>
      <c r="L30" s="80">
        <v>1</v>
      </c>
      <c r="M30" s="80">
        <v>50</v>
      </c>
      <c r="N30" s="130">
        <v>50</v>
      </c>
      <c r="O30" s="95">
        <v>1</v>
      </c>
      <c r="P30" s="95">
        <v>1</v>
      </c>
      <c r="Q30" s="80">
        <v>42.5</v>
      </c>
      <c r="R30" s="121">
        <f t="shared" si="0"/>
        <v>-7.5</v>
      </c>
    </row>
    <row r="31" spans="1:18">
      <c r="A31" s="3" t="s">
        <v>723</v>
      </c>
      <c r="B31" s="3" t="s">
        <v>724</v>
      </c>
      <c r="C31" s="3">
        <v>23</v>
      </c>
      <c r="D31" s="3" t="s">
        <v>541</v>
      </c>
      <c r="E31" s="58" t="s">
        <v>1629</v>
      </c>
      <c r="F31" s="94">
        <v>34516</v>
      </c>
      <c r="G31" s="94">
        <v>34516</v>
      </c>
      <c r="H31" s="94">
        <v>34516</v>
      </c>
      <c r="I31" s="80">
        <v>1999</v>
      </c>
      <c r="J31" s="80">
        <v>1999</v>
      </c>
      <c r="K31" s="80">
        <v>2000</v>
      </c>
      <c r="L31" s="80">
        <v>1</v>
      </c>
      <c r="M31" s="80">
        <v>30</v>
      </c>
      <c r="N31" s="130">
        <v>30</v>
      </c>
      <c r="O31" s="95">
        <v>1</v>
      </c>
      <c r="P31" s="95">
        <v>1</v>
      </c>
      <c r="Q31" s="80">
        <v>40</v>
      </c>
      <c r="R31" s="121">
        <f t="shared" si="0"/>
        <v>10</v>
      </c>
    </row>
    <row r="32" spans="1:18">
      <c r="A32" s="3" t="s">
        <v>725</v>
      </c>
      <c r="B32" s="3" t="s">
        <v>726</v>
      </c>
      <c r="C32" s="3">
        <v>24</v>
      </c>
      <c r="D32" s="3" t="s">
        <v>664</v>
      </c>
      <c r="E32" s="58" t="s">
        <v>1549</v>
      </c>
      <c r="F32" s="94">
        <v>33123</v>
      </c>
      <c r="G32" s="94">
        <v>33123</v>
      </c>
      <c r="H32" s="94">
        <v>35843</v>
      </c>
      <c r="I32" s="80">
        <v>1995</v>
      </c>
      <c r="J32" s="80">
        <v>2003</v>
      </c>
      <c r="K32" s="80">
        <v>1996</v>
      </c>
      <c r="L32" s="80" t="s">
        <v>1810</v>
      </c>
      <c r="M32" s="80">
        <v>30</v>
      </c>
      <c r="N32" s="130">
        <v>30</v>
      </c>
      <c r="O32" s="95">
        <v>1</v>
      </c>
      <c r="P32" s="95">
        <v>1</v>
      </c>
      <c r="Q32" s="80">
        <v>22.448979591836736</v>
      </c>
      <c r="R32" s="121">
        <f t="shared" si="0"/>
        <v>-7.5510204081632644</v>
      </c>
    </row>
    <row r="33" spans="1:23">
      <c r="E33" s="11"/>
      <c r="F33" s="11"/>
      <c r="G33" s="11"/>
      <c r="H33" s="11"/>
      <c r="I33" s="11"/>
      <c r="J33" s="11"/>
      <c r="K33" s="11"/>
      <c r="L33" s="11"/>
      <c r="M33" s="11"/>
      <c r="N33" s="95"/>
    </row>
    <row r="34" spans="1:23">
      <c r="A34" s="3" t="s">
        <v>727</v>
      </c>
      <c r="E34" s="11"/>
      <c r="F34" s="11"/>
      <c r="G34" s="11"/>
      <c r="H34" s="11"/>
      <c r="I34" s="11"/>
      <c r="J34" s="11"/>
      <c r="K34" s="11"/>
      <c r="L34" s="11"/>
      <c r="M34" s="11"/>
    </row>
    <row r="35" spans="1:23" ht="363">
      <c r="A35" s="7" t="s">
        <v>728</v>
      </c>
      <c r="B35" s="7"/>
      <c r="C35" s="7"/>
      <c r="D35" s="7"/>
      <c r="E35" s="1" t="s">
        <v>78</v>
      </c>
      <c r="F35" s="1" t="s">
        <v>2126</v>
      </c>
      <c r="G35" s="1" t="s">
        <v>2134</v>
      </c>
      <c r="H35" s="1" t="s">
        <v>2405</v>
      </c>
      <c r="I35" s="1" t="s">
        <v>2405</v>
      </c>
      <c r="J35" s="1" t="s">
        <v>3238</v>
      </c>
      <c r="K35" s="1" t="s">
        <v>3333</v>
      </c>
      <c r="L35" s="1" t="s">
        <v>2127</v>
      </c>
      <c r="M35" s="1" t="s">
        <v>2128</v>
      </c>
      <c r="N35" s="1" t="s">
        <v>2128</v>
      </c>
      <c r="O35" s="1" t="s">
        <v>2135</v>
      </c>
      <c r="P35" s="1" t="s">
        <v>3246</v>
      </c>
      <c r="Q35" s="1" t="s">
        <v>2125</v>
      </c>
      <c r="R35" s="1" t="s">
        <v>2129</v>
      </c>
      <c r="S35" s="1"/>
      <c r="T35" s="1"/>
      <c r="U35" s="1"/>
      <c r="V35" s="1"/>
      <c r="W35" s="1"/>
    </row>
    <row r="36" spans="1:23" ht="220">
      <c r="A36" s="7"/>
      <c r="B36" s="7"/>
      <c r="C36" s="7"/>
      <c r="D36" s="7"/>
      <c r="E36" s="7" t="s">
        <v>79</v>
      </c>
      <c r="F36" s="7"/>
      <c r="G36" s="7"/>
      <c r="H36" s="7"/>
      <c r="I36" s="135" t="s">
        <v>2406</v>
      </c>
      <c r="J36" s="135" t="s">
        <v>2407</v>
      </c>
      <c r="K36" s="135"/>
      <c r="L36" s="7"/>
      <c r="M36" s="7"/>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opLeftCell="N1" workbookViewId="0">
      <selection activeCell="AB36" sqref="AB36"/>
    </sheetView>
  </sheetViews>
  <sheetFormatPr baseColWidth="10" defaultRowHeight="13" x14ac:dyDescent="0"/>
  <cols>
    <col min="1" max="1" width="15.140625" style="3" customWidth="1"/>
    <col min="2" max="3" width="5.7109375" style="3" customWidth="1"/>
    <col min="4" max="4" width="10.7109375" style="3"/>
  </cols>
  <sheetData>
    <row r="1" spans="1:28">
      <c r="A1" s="137" t="s">
        <v>2404</v>
      </c>
    </row>
    <row r="2" spans="1:28">
      <c r="A2" s="20" t="s">
        <v>614</v>
      </c>
      <c r="B2" s="20"/>
      <c r="C2" s="20"/>
      <c r="D2" s="20"/>
      <c r="E2" s="20" t="s">
        <v>3546</v>
      </c>
      <c r="F2" s="20" t="s">
        <v>3546</v>
      </c>
      <c r="G2" s="20" t="s">
        <v>3546</v>
      </c>
      <c r="H2" s="20" t="s">
        <v>3546</v>
      </c>
      <c r="I2" s="20" t="s">
        <v>3546</v>
      </c>
      <c r="J2" s="20" t="s">
        <v>3546</v>
      </c>
      <c r="K2" s="20" t="s">
        <v>3546</v>
      </c>
      <c r="L2" s="20" t="s">
        <v>3546</v>
      </c>
      <c r="M2" s="20" t="s">
        <v>3546</v>
      </c>
      <c r="N2" s="20" t="s">
        <v>3546</v>
      </c>
      <c r="O2" s="20" t="s">
        <v>3546</v>
      </c>
      <c r="P2" s="20" t="s">
        <v>3546</v>
      </c>
      <c r="Q2" s="20" t="s">
        <v>3546</v>
      </c>
      <c r="R2" s="20" t="s">
        <v>3546</v>
      </c>
      <c r="S2" s="20" t="s">
        <v>3546</v>
      </c>
      <c r="T2" s="20" t="s">
        <v>3546</v>
      </c>
      <c r="U2" s="20" t="s">
        <v>3546</v>
      </c>
      <c r="V2" s="20" t="s">
        <v>3546</v>
      </c>
      <c r="W2" s="20" t="s">
        <v>3546</v>
      </c>
      <c r="X2" s="20" t="s">
        <v>3546</v>
      </c>
      <c r="Y2" s="20" t="s">
        <v>3546</v>
      </c>
      <c r="Z2" s="20" t="s">
        <v>3546</v>
      </c>
      <c r="AA2" s="20" t="s">
        <v>3546</v>
      </c>
      <c r="AB2" s="20" t="s">
        <v>3546</v>
      </c>
    </row>
    <row r="3" spans="1:28">
      <c r="A3" s="20" t="s">
        <v>518</v>
      </c>
      <c r="B3" s="20"/>
      <c r="C3" s="20"/>
      <c r="D3" s="20"/>
      <c r="E3" s="20" t="s">
        <v>3547</v>
      </c>
      <c r="F3" s="20" t="s">
        <v>3547</v>
      </c>
      <c r="G3" s="20" t="s">
        <v>3547</v>
      </c>
      <c r="H3" s="20" t="s">
        <v>3547</v>
      </c>
      <c r="I3" s="20" t="s">
        <v>3547</v>
      </c>
      <c r="J3" s="20" t="s">
        <v>3547</v>
      </c>
      <c r="K3" s="20" t="s">
        <v>3547</v>
      </c>
      <c r="L3" s="20" t="s">
        <v>3547</v>
      </c>
      <c r="M3" s="20" t="s">
        <v>3547</v>
      </c>
      <c r="N3" s="20" t="s">
        <v>3547</v>
      </c>
      <c r="O3" s="20" t="s">
        <v>3547</v>
      </c>
      <c r="P3" s="20" t="s">
        <v>3547</v>
      </c>
      <c r="Q3" s="20" t="s">
        <v>3547</v>
      </c>
      <c r="R3" s="20" t="s">
        <v>3547</v>
      </c>
      <c r="S3" s="20" t="s">
        <v>3547</v>
      </c>
      <c r="T3" s="20" t="s">
        <v>3547</v>
      </c>
      <c r="U3" s="20" t="s">
        <v>3547</v>
      </c>
      <c r="V3" s="20" t="s">
        <v>3547</v>
      </c>
      <c r="W3" s="20" t="s">
        <v>3547</v>
      </c>
      <c r="X3" s="20" t="s">
        <v>3547</v>
      </c>
      <c r="Y3" s="20" t="s">
        <v>3547</v>
      </c>
      <c r="Z3" s="20" t="s">
        <v>3547</v>
      </c>
      <c r="AA3" s="20" t="s">
        <v>3547</v>
      </c>
      <c r="AB3" s="20" t="s">
        <v>3547</v>
      </c>
    </row>
    <row r="4" spans="1:28">
      <c r="A4" s="1" t="s">
        <v>736</v>
      </c>
      <c r="B4" s="1"/>
      <c r="C4" s="1"/>
      <c r="D4" s="1"/>
      <c r="E4" s="1" t="s">
        <v>3575</v>
      </c>
      <c r="F4" s="1" t="s">
        <v>3575</v>
      </c>
      <c r="G4" s="1" t="s">
        <v>3575</v>
      </c>
      <c r="H4" s="1" t="s">
        <v>3575</v>
      </c>
      <c r="I4" s="1" t="s">
        <v>3575</v>
      </c>
      <c r="J4" s="1" t="s">
        <v>3575</v>
      </c>
      <c r="K4" s="1" t="s">
        <v>3575</v>
      </c>
      <c r="L4" s="1" t="s">
        <v>3575</v>
      </c>
      <c r="M4" s="1" t="s">
        <v>3575</v>
      </c>
      <c r="N4" s="1" t="s">
        <v>3575</v>
      </c>
      <c r="O4" s="1" t="s">
        <v>3575</v>
      </c>
      <c r="P4" s="1" t="s">
        <v>3575</v>
      </c>
      <c r="Q4" s="1" t="s">
        <v>3577</v>
      </c>
      <c r="R4" s="1" t="s">
        <v>3577</v>
      </c>
      <c r="S4" s="1" t="s">
        <v>3577</v>
      </c>
      <c r="T4" s="1" t="s">
        <v>3577</v>
      </c>
      <c r="U4" s="1" t="s">
        <v>3577</v>
      </c>
      <c r="V4" s="1" t="s">
        <v>3577</v>
      </c>
      <c r="W4" s="1" t="s">
        <v>3577</v>
      </c>
      <c r="X4" s="1" t="s">
        <v>3577</v>
      </c>
      <c r="Y4" s="1" t="s">
        <v>3577</v>
      </c>
      <c r="Z4" s="1" t="s">
        <v>3577</v>
      </c>
      <c r="AA4" s="1" t="s">
        <v>3577</v>
      </c>
      <c r="AB4" s="1" t="s">
        <v>3577</v>
      </c>
    </row>
    <row r="5" spans="1:28">
      <c r="A5" s="1" t="s">
        <v>737</v>
      </c>
      <c r="B5" s="1"/>
      <c r="C5" s="1"/>
      <c r="D5" s="1"/>
      <c r="E5" s="1" t="s">
        <v>3548</v>
      </c>
      <c r="F5" s="1" t="s">
        <v>3548</v>
      </c>
      <c r="G5" s="1" t="s">
        <v>3548</v>
      </c>
      <c r="H5" s="1" t="s">
        <v>3548</v>
      </c>
      <c r="I5" s="1" t="s">
        <v>3548</v>
      </c>
      <c r="J5" s="1" t="s">
        <v>3548</v>
      </c>
      <c r="K5" s="1" t="s">
        <v>3548</v>
      </c>
      <c r="L5" s="1" t="s">
        <v>3548</v>
      </c>
      <c r="M5" s="1" t="s">
        <v>3548</v>
      </c>
      <c r="N5" s="1" t="s">
        <v>3548</v>
      </c>
      <c r="O5" s="1" t="s">
        <v>3548</v>
      </c>
      <c r="P5" s="1" t="s">
        <v>3548</v>
      </c>
      <c r="Q5" s="1" t="s">
        <v>3548</v>
      </c>
      <c r="R5" s="1" t="s">
        <v>3548</v>
      </c>
      <c r="S5" s="1" t="s">
        <v>3548</v>
      </c>
      <c r="T5" s="1" t="s">
        <v>3548</v>
      </c>
      <c r="U5" s="1" t="s">
        <v>3548</v>
      </c>
      <c r="V5" s="1" t="s">
        <v>3548</v>
      </c>
      <c r="W5" s="1" t="s">
        <v>3548</v>
      </c>
      <c r="X5" s="1" t="s">
        <v>3548</v>
      </c>
      <c r="Y5" s="1" t="s">
        <v>3548</v>
      </c>
      <c r="Z5" s="1" t="s">
        <v>3548</v>
      </c>
      <c r="AA5" s="1" t="s">
        <v>3548</v>
      </c>
      <c r="AB5" s="1" t="s">
        <v>3548</v>
      </c>
    </row>
    <row r="6" spans="1:28">
      <c r="A6" s="33" t="s">
        <v>560</v>
      </c>
      <c r="B6" s="33"/>
      <c r="C6" s="33"/>
      <c r="D6" s="33"/>
      <c r="E6" s="2">
        <v>2003</v>
      </c>
      <c r="F6" s="2">
        <v>2004</v>
      </c>
      <c r="G6" s="2">
        <v>2005</v>
      </c>
      <c r="H6" s="2">
        <v>2006</v>
      </c>
      <c r="I6" s="2">
        <v>2007</v>
      </c>
      <c r="J6" s="2">
        <v>2008</v>
      </c>
      <c r="K6" s="2">
        <v>2009</v>
      </c>
      <c r="L6" s="2">
        <v>2010</v>
      </c>
      <c r="M6" s="2">
        <v>2011</v>
      </c>
      <c r="N6" s="2">
        <v>2012</v>
      </c>
      <c r="O6" s="2">
        <v>2013</v>
      </c>
      <c r="P6" s="2">
        <v>2014</v>
      </c>
      <c r="Q6" s="2">
        <v>2003</v>
      </c>
      <c r="R6" s="2">
        <v>2004</v>
      </c>
      <c r="S6" s="2">
        <v>2005</v>
      </c>
      <c r="T6" s="2">
        <v>2006</v>
      </c>
      <c r="U6" s="2">
        <v>2007</v>
      </c>
      <c r="V6" s="2">
        <v>2008</v>
      </c>
      <c r="W6" s="2">
        <v>2009</v>
      </c>
      <c r="X6" s="2">
        <v>2010</v>
      </c>
      <c r="Y6" s="2">
        <v>2011</v>
      </c>
      <c r="Z6" s="2">
        <v>2012</v>
      </c>
      <c r="AA6" s="2">
        <v>2013</v>
      </c>
      <c r="AB6" s="2">
        <v>2014</v>
      </c>
    </row>
    <row r="7" spans="1:28" ht="77">
      <c r="A7" s="2" t="s">
        <v>3334</v>
      </c>
      <c r="B7" s="2"/>
      <c r="C7" s="2"/>
      <c r="D7" s="2"/>
      <c r="E7" s="2" t="s">
        <v>3574</v>
      </c>
      <c r="F7" s="2" t="s">
        <v>3574</v>
      </c>
      <c r="G7" s="2" t="s">
        <v>3574</v>
      </c>
      <c r="H7" s="2" t="s">
        <v>3574</v>
      </c>
      <c r="I7" s="2" t="s">
        <v>3574</v>
      </c>
      <c r="J7" s="2" t="s">
        <v>3574</v>
      </c>
      <c r="K7" s="2" t="s">
        <v>3574</v>
      </c>
      <c r="L7" s="2" t="s">
        <v>3574</v>
      </c>
      <c r="M7" s="2" t="s">
        <v>3574</v>
      </c>
      <c r="N7" s="2" t="s">
        <v>3574</v>
      </c>
      <c r="O7" s="2" t="s">
        <v>3574</v>
      </c>
      <c r="P7" s="2" t="s">
        <v>3574</v>
      </c>
      <c r="Q7" s="2" t="s">
        <v>3576</v>
      </c>
      <c r="R7" s="2" t="s">
        <v>3576</v>
      </c>
      <c r="S7" s="2" t="s">
        <v>3576</v>
      </c>
      <c r="T7" s="2" t="s">
        <v>3576</v>
      </c>
      <c r="U7" s="2" t="s">
        <v>3576</v>
      </c>
      <c r="V7" s="2" t="s">
        <v>3576</v>
      </c>
      <c r="W7" s="2" t="s">
        <v>3576</v>
      </c>
      <c r="X7" s="2" t="s">
        <v>3576</v>
      </c>
      <c r="Y7" s="2" t="s">
        <v>3576</v>
      </c>
      <c r="Z7" s="2" t="s">
        <v>3576</v>
      </c>
      <c r="AA7" s="2" t="s">
        <v>3576</v>
      </c>
      <c r="AB7" s="2" t="s">
        <v>3576</v>
      </c>
    </row>
    <row r="8" spans="1:28">
      <c r="A8" s="9" t="s">
        <v>572</v>
      </c>
      <c r="B8" s="9" t="s">
        <v>770</v>
      </c>
      <c r="C8" s="9" t="s">
        <v>771</v>
      </c>
      <c r="D8" s="9" t="s">
        <v>772</v>
      </c>
      <c r="E8" s="9" t="s">
        <v>3549</v>
      </c>
      <c r="F8" s="9" t="s">
        <v>3550</v>
      </c>
      <c r="G8" s="9" t="s">
        <v>3551</v>
      </c>
      <c r="H8" s="9" t="s">
        <v>3552</v>
      </c>
      <c r="I8" s="9" t="s">
        <v>3553</v>
      </c>
      <c r="J8" s="9" t="s">
        <v>3554</v>
      </c>
      <c r="K8" s="9" t="s">
        <v>3555</v>
      </c>
      <c r="L8" s="9" t="s">
        <v>3556</v>
      </c>
      <c r="M8" s="9" t="s">
        <v>3557</v>
      </c>
      <c r="N8" s="9" t="s">
        <v>3558</v>
      </c>
      <c r="O8" s="9" t="s">
        <v>3559</v>
      </c>
      <c r="P8" s="9" t="s">
        <v>3560</v>
      </c>
      <c r="Q8" s="9" t="s">
        <v>3561</v>
      </c>
      <c r="R8" s="9" t="s">
        <v>3562</v>
      </c>
      <c r="S8" s="9" t="s">
        <v>3563</v>
      </c>
      <c r="T8" s="9" t="s">
        <v>3564</v>
      </c>
      <c r="U8" s="9" t="s">
        <v>3565</v>
      </c>
      <c r="V8" s="9" t="s">
        <v>3566</v>
      </c>
      <c r="W8" s="9" t="s">
        <v>3567</v>
      </c>
      <c r="X8" s="9" t="s">
        <v>3568</v>
      </c>
      <c r="Y8" s="9" t="s">
        <v>3569</v>
      </c>
      <c r="Z8" s="9" t="s">
        <v>3570</v>
      </c>
      <c r="AA8" s="9" t="s">
        <v>3571</v>
      </c>
      <c r="AB8" s="9" t="s">
        <v>3572</v>
      </c>
    </row>
    <row r="9" spans="1:28">
      <c r="A9" s="217" t="s">
        <v>850</v>
      </c>
      <c r="B9" s="217" t="s">
        <v>851</v>
      </c>
      <c r="C9" s="217">
        <v>1</v>
      </c>
      <c r="D9" s="217" t="s">
        <v>759</v>
      </c>
      <c r="E9" s="226">
        <v>273.17095</v>
      </c>
      <c r="F9" s="226">
        <v>321.56491</v>
      </c>
      <c r="G9" s="226">
        <v>397.29419000000001</v>
      </c>
      <c r="H9" s="226">
        <v>510.38119</v>
      </c>
      <c r="I9" s="226">
        <v>641.90651000000003</v>
      </c>
      <c r="J9" s="226">
        <v>843.78575999999998</v>
      </c>
      <c r="K9" s="226">
        <v>978.27</v>
      </c>
      <c r="L9" s="226">
        <v>1252.31</v>
      </c>
      <c r="M9" s="226">
        <v>1628.52</v>
      </c>
      <c r="N9" s="226">
        <v>2001.33</v>
      </c>
      <c r="O9" s="226">
        <v>2559.02</v>
      </c>
      <c r="P9" s="226">
        <v>3219.36</v>
      </c>
      <c r="Q9" s="226">
        <v>357.13513318692912</v>
      </c>
      <c r="R9" s="226">
        <v>321.56490939987327</v>
      </c>
      <c r="S9" s="226">
        <v>359.15171814791563</v>
      </c>
      <c r="T9" s="226">
        <v>400.35750533609007</v>
      </c>
      <c r="U9" s="226">
        <v>427.88436434946959</v>
      </c>
      <c r="V9" s="226">
        <v>463.89595471388725</v>
      </c>
      <c r="W9" s="226">
        <v>489.45025046017628</v>
      </c>
      <c r="X9" s="226">
        <v>534.5580585957108</v>
      </c>
      <c r="Y9" s="226">
        <v>590.11869007865118</v>
      </c>
      <c r="Z9" s="226">
        <v>611.1348298129285</v>
      </c>
      <c r="AA9" s="226">
        <v>652.75861705195405</v>
      </c>
      <c r="AB9" s="226">
        <v>634.9083498294774</v>
      </c>
    </row>
    <row r="10" spans="1:28">
      <c r="A10" s="217" t="s">
        <v>667</v>
      </c>
      <c r="B10" s="217" t="s">
        <v>668</v>
      </c>
      <c r="C10" s="217">
        <v>2</v>
      </c>
      <c r="D10" s="217" t="s">
        <v>759</v>
      </c>
      <c r="E10" s="226">
        <v>657.35356999999999</v>
      </c>
      <c r="F10" s="226">
        <v>689.50507000000005</v>
      </c>
      <c r="G10" s="226">
        <v>817.19943000000001</v>
      </c>
      <c r="H10" s="226">
        <v>988.98589000000004</v>
      </c>
      <c r="I10" s="226">
        <v>1281.9614999999999</v>
      </c>
      <c r="J10" s="226">
        <v>1454.2239</v>
      </c>
      <c r="K10" s="226">
        <v>1832.88</v>
      </c>
      <c r="L10" s="226">
        <v>2368.84</v>
      </c>
      <c r="M10" s="226">
        <v>3019.45</v>
      </c>
      <c r="N10" s="226">
        <v>3495.97</v>
      </c>
      <c r="O10" s="226">
        <v>4356.49</v>
      </c>
      <c r="P10" s="226">
        <v>5874.79</v>
      </c>
      <c r="Q10" s="226">
        <v>859.40344232376583</v>
      </c>
      <c r="R10" s="226">
        <v>689.50506871319783</v>
      </c>
      <c r="S10" s="226">
        <v>738.74369860278421</v>
      </c>
      <c r="T10" s="226">
        <v>775.78862914793706</v>
      </c>
      <c r="U10" s="226">
        <v>854.53453579710936</v>
      </c>
      <c r="V10" s="226">
        <v>799.50221541810856</v>
      </c>
      <c r="W10" s="226">
        <v>917.03065111211413</v>
      </c>
      <c r="X10" s="226">
        <v>1011.1573903617026</v>
      </c>
      <c r="Y10" s="226">
        <v>1094.1430739309208</v>
      </c>
      <c r="Z10" s="226">
        <v>1067.5445983326606</v>
      </c>
      <c r="AA10" s="226">
        <v>1111.2599305986928</v>
      </c>
      <c r="AB10" s="226">
        <v>1158.6008475270598</v>
      </c>
    </row>
    <row r="11" spans="1:28">
      <c r="A11" s="217" t="s">
        <v>669</v>
      </c>
      <c r="B11" s="217" t="s">
        <v>663</v>
      </c>
      <c r="C11" s="217">
        <v>3</v>
      </c>
      <c r="D11" s="217" t="s">
        <v>664</v>
      </c>
      <c r="E11" s="226">
        <v>220.77556000000001</v>
      </c>
      <c r="F11" s="226">
        <v>252.84075999999999</v>
      </c>
      <c r="G11" s="226">
        <v>338.74822</v>
      </c>
      <c r="H11" s="226">
        <v>376.75209000000001</v>
      </c>
      <c r="I11" s="226">
        <v>459.32657</v>
      </c>
      <c r="J11" s="226">
        <v>628.50939000000005</v>
      </c>
      <c r="K11" s="226">
        <v>759.94</v>
      </c>
      <c r="L11" s="226">
        <v>946.18</v>
      </c>
      <c r="M11" s="226">
        <v>1248.8499999999999</v>
      </c>
      <c r="N11" s="226">
        <v>1554.24</v>
      </c>
      <c r="O11" s="226">
        <v>2167.2199999999998</v>
      </c>
      <c r="P11" s="226">
        <v>2924.99</v>
      </c>
      <c r="Q11" s="226">
        <v>288.63504345911912</v>
      </c>
      <c r="R11" s="226">
        <v>252.84075952813103</v>
      </c>
      <c r="S11" s="226">
        <v>306.22648982747046</v>
      </c>
      <c r="T11" s="226">
        <v>295.53504290108748</v>
      </c>
      <c r="U11" s="226">
        <v>306.17956722899129</v>
      </c>
      <c r="V11" s="226">
        <v>345.54146009846494</v>
      </c>
      <c r="W11" s="226">
        <v>380.2148929586989</v>
      </c>
      <c r="X11" s="226">
        <v>403.88413722008903</v>
      </c>
      <c r="Y11" s="226">
        <v>452.5395611381644</v>
      </c>
      <c r="Z11" s="226">
        <v>474.609483637604</v>
      </c>
      <c r="AA11" s="226">
        <v>552.81769194743913</v>
      </c>
      <c r="AB11" s="226">
        <v>576.85396295155647</v>
      </c>
    </row>
    <row r="12" spans="1:28">
      <c r="A12" s="217" t="s">
        <v>665</v>
      </c>
      <c r="B12" s="217" t="s">
        <v>640</v>
      </c>
      <c r="C12" s="217">
        <v>4</v>
      </c>
      <c r="D12" s="217" t="s">
        <v>641</v>
      </c>
      <c r="E12" s="226">
        <v>191.31970999999999</v>
      </c>
      <c r="F12" s="226">
        <v>184.18526</v>
      </c>
      <c r="G12" s="226">
        <v>252.55385999999999</v>
      </c>
      <c r="H12" s="226">
        <v>310.42309999999998</v>
      </c>
      <c r="I12" s="226">
        <v>388.74864000000002</v>
      </c>
      <c r="J12" s="226">
        <v>515.50059999999996</v>
      </c>
      <c r="K12" s="226">
        <v>652.04</v>
      </c>
      <c r="L12" s="226">
        <v>787.74</v>
      </c>
      <c r="M12" s="226">
        <v>906.22</v>
      </c>
      <c r="N12" s="226">
        <v>1198.8900000000001</v>
      </c>
      <c r="O12" s="226">
        <v>1636.47</v>
      </c>
      <c r="P12" s="226">
        <v>2061.6999999999998</v>
      </c>
      <c r="Q12" s="226">
        <v>250.12538892636513</v>
      </c>
      <c r="R12" s="226">
        <v>184.18525965626068</v>
      </c>
      <c r="S12" s="226">
        <v>228.30727210958744</v>
      </c>
      <c r="T12" s="226">
        <v>243.50469874231771</v>
      </c>
      <c r="U12" s="226">
        <v>259.13347524411427</v>
      </c>
      <c r="V12" s="226">
        <v>283.41156526815729</v>
      </c>
      <c r="W12" s="226">
        <v>326.23012185802827</v>
      </c>
      <c r="X12" s="226">
        <v>336.2528168569965</v>
      </c>
      <c r="Y12" s="226">
        <v>328.38243271379861</v>
      </c>
      <c r="Z12" s="226">
        <v>366.09826271250716</v>
      </c>
      <c r="AA12" s="226">
        <v>417.43319475698166</v>
      </c>
      <c r="AB12" s="226">
        <v>406.59961757723067</v>
      </c>
    </row>
    <row r="13" spans="1:28">
      <c r="A13" s="217" t="s">
        <v>539</v>
      </c>
      <c r="B13" s="217" t="s">
        <v>540</v>
      </c>
      <c r="C13" s="217">
        <v>5</v>
      </c>
      <c r="D13" s="217" t="s">
        <v>541</v>
      </c>
      <c r="E13" s="226">
        <v>382.64411000000001</v>
      </c>
      <c r="F13" s="226">
        <v>489.56268</v>
      </c>
      <c r="G13" s="226">
        <v>624.17998</v>
      </c>
      <c r="H13" s="226">
        <v>849.13181999999995</v>
      </c>
      <c r="I13" s="226">
        <v>1031.7092</v>
      </c>
      <c r="J13" s="226">
        <v>1293.0335</v>
      </c>
      <c r="K13" s="226">
        <v>1442.99</v>
      </c>
      <c r="L13" s="226">
        <v>2028.77</v>
      </c>
      <c r="M13" s="226">
        <v>2564.04</v>
      </c>
      <c r="N13" s="226">
        <v>3222.24</v>
      </c>
      <c r="O13" s="226">
        <v>3570.96</v>
      </c>
      <c r="P13" s="226">
        <v>5115.41</v>
      </c>
      <c r="Q13" s="226">
        <v>500.25690941164845</v>
      </c>
      <c r="R13" s="226">
        <v>489.56267908634419</v>
      </c>
      <c r="S13" s="226">
        <v>564.25519902652388</v>
      </c>
      <c r="T13" s="226">
        <v>666.0831233938967</v>
      </c>
      <c r="U13" s="226">
        <v>687.7204520569511</v>
      </c>
      <c r="V13" s="226">
        <v>710.88306818491355</v>
      </c>
      <c r="W13" s="226">
        <v>721.96000788282356</v>
      </c>
      <c r="X13" s="226">
        <v>865.99592156672099</v>
      </c>
      <c r="Y13" s="226">
        <v>929.11841801713501</v>
      </c>
      <c r="Z13" s="226">
        <v>983.95721545992444</v>
      </c>
      <c r="AA13" s="226">
        <v>910.88577312715245</v>
      </c>
      <c r="AB13" s="226">
        <v>1008.8391859876518</v>
      </c>
    </row>
    <row r="14" spans="1:28">
      <c r="A14" s="217" t="s">
        <v>542</v>
      </c>
      <c r="B14" s="217" t="s">
        <v>543</v>
      </c>
      <c r="C14" s="217">
        <v>6</v>
      </c>
      <c r="D14" s="217" t="s">
        <v>759</v>
      </c>
      <c r="E14" s="226">
        <v>273.18191000000002</v>
      </c>
      <c r="F14" s="226">
        <v>307.28876000000002</v>
      </c>
      <c r="G14" s="226">
        <v>434.48543999999998</v>
      </c>
      <c r="H14" s="226">
        <v>528.56330000000003</v>
      </c>
      <c r="I14" s="226">
        <v>667.69411000000002</v>
      </c>
      <c r="J14" s="226">
        <v>931.74261000000001</v>
      </c>
      <c r="K14" s="226">
        <v>1024.25</v>
      </c>
      <c r="L14" s="226">
        <v>1264.03</v>
      </c>
      <c r="M14" s="226">
        <v>1675.51</v>
      </c>
      <c r="N14" s="226">
        <v>2035.97</v>
      </c>
      <c r="O14" s="226">
        <v>2754.25</v>
      </c>
      <c r="P14" s="226">
        <v>3517.11</v>
      </c>
      <c r="Q14" s="226">
        <v>357.1494619472154</v>
      </c>
      <c r="R14" s="226">
        <v>307.28875942651644</v>
      </c>
      <c r="S14" s="226">
        <v>392.77239943089296</v>
      </c>
      <c r="T14" s="226">
        <v>414.62006897278366</v>
      </c>
      <c r="U14" s="226">
        <v>445.07395607692911</v>
      </c>
      <c r="V14" s="226">
        <v>512.2528112035917</v>
      </c>
      <c r="W14" s="226">
        <v>512.45506765395601</v>
      </c>
      <c r="X14" s="226">
        <v>539.56082983185979</v>
      </c>
      <c r="Y14" s="226">
        <v>607.14622259086832</v>
      </c>
      <c r="Z14" s="226">
        <v>621.7126508143225</v>
      </c>
      <c r="AA14" s="226">
        <v>702.55817501049012</v>
      </c>
      <c r="AB14" s="226">
        <v>693.62932578796824</v>
      </c>
    </row>
    <row r="15" spans="1:28">
      <c r="A15" s="217" t="s">
        <v>628</v>
      </c>
      <c r="B15" s="217" t="s">
        <v>629</v>
      </c>
      <c r="C15" s="217">
        <v>7</v>
      </c>
      <c r="D15" s="217" t="s">
        <v>641</v>
      </c>
      <c r="E15" s="226">
        <v>173.22814</v>
      </c>
      <c r="F15" s="226">
        <v>193.97309000000001</v>
      </c>
      <c r="G15" s="226">
        <v>250.36170000000001</v>
      </c>
      <c r="H15" s="226">
        <v>365.59066999999999</v>
      </c>
      <c r="I15" s="226">
        <v>431.70947999999999</v>
      </c>
      <c r="J15" s="226">
        <v>567.86360000000002</v>
      </c>
      <c r="K15" s="226">
        <v>722.57</v>
      </c>
      <c r="L15" s="226">
        <v>854.91</v>
      </c>
      <c r="M15" s="226">
        <v>1266.22</v>
      </c>
      <c r="N15" s="226">
        <v>1451.01</v>
      </c>
      <c r="O15" s="226">
        <v>1837.66</v>
      </c>
      <c r="P15" s="226">
        <v>2367.98</v>
      </c>
      <c r="Q15" s="226">
        <v>226.47303767338363</v>
      </c>
      <c r="R15" s="226">
        <v>193.97308963799398</v>
      </c>
      <c r="S15" s="226">
        <v>226.32557177197333</v>
      </c>
      <c r="T15" s="226">
        <v>286.77970795779078</v>
      </c>
      <c r="U15" s="226">
        <v>287.77046743682354</v>
      </c>
      <c r="V15" s="226">
        <v>312.19965938897212</v>
      </c>
      <c r="W15" s="226">
        <v>361.51785036340641</v>
      </c>
      <c r="X15" s="226">
        <v>364.92484278977184</v>
      </c>
      <c r="Y15" s="226">
        <v>458.83384161778162</v>
      </c>
      <c r="Z15" s="226">
        <v>443.0867220332766</v>
      </c>
      <c r="AA15" s="226">
        <v>468.75303835518827</v>
      </c>
      <c r="AB15" s="226">
        <v>467.00284349349118</v>
      </c>
    </row>
    <row r="16" spans="1:28">
      <c r="A16" s="217" t="s">
        <v>630</v>
      </c>
      <c r="B16" s="217" t="s">
        <v>631</v>
      </c>
      <c r="C16" s="217">
        <v>8</v>
      </c>
      <c r="D16" s="217" t="s">
        <v>759</v>
      </c>
      <c r="E16" s="226">
        <v>229.03146100000001</v>
      </c>
      <c r="F16" s="226">
        <v>267.96325999999999</v>
      </c>
      <c r="G16" s="226">
        <v>362.62473999999997</v>
      </c>
      <c r="H16" s="226">
        <v>449.31243999999998</v>
      </c>
      <c r="I16" s="226">
        <v>568.05651</v>
      </c>
      <c r="J16" s="226">
        <v>788.98509000000001</v>
      </c>
      <c r="K16" s="226">
        <v>864</v>
      </c>
      <c r="L16" s="226">
        <v>1049.05</v>
      </c>
      <c r="M16" s="226">
        <v>1515.34</v>
      </c>
      <c r="N16" s="226">
        <v>1775.18</v>
      </c>
      <c r="O16" s="226">
        <v>2445.6999999999998</v>
      </c>
      <c r="P16" s="226">
        <v>3477.08</v>
      </c>
      <c r="Q16" s="226">
        <v>299.42854951535645</v>
      </c>
      <c r="R16" s="226">
        <v>267.96325949990836</v>
      </c>
      <c r="S16" s="226">
        <v>327.81072991261505</v>
      </c>
      <c r="T16" s="226">
        <v>352.45344287643445</v>
      </c>
      <c r="U16" s="226">
        <v>378.65716410311546</v>
      </c>
      <c r="V16" s="226">
        <v>433.76768005728405</v>
      </c>
      <c r="W16" s="226">
        <v>432.27842660777935</v>
      </c>
      <c r="X16" s="226">
        <v>447.7949799728745</v>
      </c>
      <c r="Y16" s="226">
        <v>549.1062165793378</v>
      </c>
      <c r="Z16" s="226">
        <v>542.07668259972843</v>
      </c>
      <c r="AA16" s="226">
        <v>623.85278337956083</v>
      </c>
      <c r="AB16" s="226">
        <v>685.73478114441355</v>
      </c>
    </row>
    <row r="17" spans="1:28">
      <c r="A17" s="217" t="s">
        <v>632</v>
      </c>
      <c r="B17" s="217" t="s">
        <v>633</v>
      </c>
      <c r="C17" s="217">
        <v>9</v>
      </c>
      <c r="D17" s="217" t="s">
        <v>641</v>
      </c>
      <c r="E17" s="226">
        <v>161.73616000000001</v>
      </c>
      <c r="F17" s="226">
        <v>244.98493999999999</v>
      </c>
      <c r="G17" s="226">
        <v>254.77600000000001</v>
      </c>
      <c r="H17" s="226">
        <v>313.68313000000001</v>
      </c>
      <c r="I17" s="226">
        <v>363.34917000000002</v>
      </c>
      <c r="J17" s="226">
        <v>489.20357999999999</v>
      </c>
      <c r="K17" s="226">
        <v>609.99</v>
      </c>
      <c r="L17" s="226">
        <v>763.68</v>
      </c>
      <c r="M17" s="226">
        <v>984.76</v>
      </c>
      <c r="N17" s="226">
        <v>1333.22</v>
      </c>
      <c r="O17" s="226">
        <v>1654.31</v>
      </c>
      <c r="P17" s="226">
        <v>2259.34</v>
      </c>
      <c r="Q17" s="226">
        <v>211.44878341837767</v>
      </c>
      <c r="R17" s="226">
        <v>244.98493954279212</v>
      </c>
      <c r="S17" s="226">
        <v>230.31607419895406</v>
      </c>
      <c r="T17" s="226">
        <v>246.06195889158147</v>
      </c>
      <c r="U17" s="226">
        <v>242.20260461660899</v>
      </c>
      <c r="V17" s="226">
        <v>268.95400770161319</v>
      </c>
      <c r="W17" s="226">
        <v>305.19157111861034</v>
      </c>
      <c r="X17" s="226">
        <v>325.98262266401485</v>
      </c>
      <c r="Y17" s="226">
        <v>356.84258175635091</v>
      </c>
      <c r="Z17" s="226">
        <v>407.11785552767037</v>
      </c>
      <c r="AA17" s="226">
        <v>421.98384841666655</v>
      </c>
      <c r="AB17" s="226">
        <v>445.57732937718413</v>
      </c>
    </row>
    <row r="18" spans="1:28">
      <c r="A18" s="217" t="s">
        <v>634</v>
      </c>
      <c r="B18" s="217" t="s">
        <v>715</v>
      </c>
      <c r="C18" s="217">
        <v>10</v>
      </c>
      <c r="D18" s="217" t="s">
        <v>664</v>
      </c>
      <c r="E18" s="226">
        <v>181.40826000000001</v>
      </c>
      <c r="F18" s="226">
        <v>206.61543</v>
      </c>
      <c r="G18" s="226">
        <v>287.00774000000001</v>
      </c>
      <c r="H18" s="226">
        <v>353.84748000000002</v>
      </c>
      <c r="I18" s="226">
        <v>417.87182000000001</v>
      </c>
      <c r="J18" s="226">
        <v>550.16950999999995</v>
      </c>
      <c r="K18" s="226">
        <v>767.46</v>
      </c>
      <c r="L18" s="226">
        <v>884.97</v>
      </c>
      <c r="M18" s="226">
        <v>1258.0899999999999</v>
      </c>
      <c r="N18" s="226">
        <v>1442.79</v>
      </c>
      <c r="O18" s="226">
        <v>1834.08</v>
      </c>
      <c r="P18" s="226">
        <v>2672.43</v>
      </c>
      <c r="Q18" s="226">
        <v>237.16747002676919</v>
      </c>
      <c r="R18" s="226">
        <v>206.61542961439997</v>
      </c>
      <c r="S18" s="226">
        <v>259.45338627466526</v>
      </c>
      <c r="T18" s="226">
        <v>277.56801609844211</v>
      </c>
      <c r="U18" s="226">
        <v>278.54650995867917</v>
      </c>
      <c r="V18" s="226">
        <v>302.47181476008973</v>
      </c>
      <c r="W18" s="226">
        <v>383.97731630139623</v>
      </c>
      <c r="X18" s="226">
        <v>377.75618266678879</v>
      </c>
      <c r="Y18" s="226">
        <v>455.88781396669998</v>
      </c>
      <c r="Z18" s="226">
        <v>440.57662709587879</v>
      </c>
      <c r="AA18" s="226">
        <v>467.83984664545324</v>
      </c>
      <c r="AB18" s="226">
        <v>527.04516467086319</v>
      </c>
    </row>
    <row r="19" spans="1:28">
      <c r="A19" s="217" t="s">
        <v>716</v>
      </c>
      <c r="B19" s="217" t="s">
        <v>717</v>
      </c>
      <c r="C19" s="217">
        <v>11</v>
      </c>
      <c r="D19" s="217" t="s">
        <v>541</v>
      </c>
      <c r="E19" s="226">
        <v>323.70821999999998</v>
      </c>
      <c r="F19" s="226">
        <v>388.44905</v>
      </c>
      <c r="G19" s="226">
        <v>456.68430999999998</v>
      </c>
      <c r="H19" s="226">
        <v>569.93035999999995</v>
      </c>
      <c r="I19" s="226">
        <v>756.37552000000005</v>
      </c>
      <c r="J19" s="226">
        <v>1087.712</v>
      </c>
      <c r="K19" s="226">
        <v>1350.31</v>
      </c>
      <c r="L19" s="226">
        <v>1615.4</v>
      </c>
      <c r="M19" s="226">
        <v>2078.54</v>
      </c>
      <c r="N19" s="226">
        <v>2610.4499999999998</v>
      </c>
      <c r="O19" s="226">
        <v>3274.91</v>
      </c>
      <c r="P19" s="226">
        <v>3917.28</v>
      </c>
      <c r="Q19" s="226">
        <v>423.20597509875682</v>
      </c>
      <c r="R19" s="226">
        <v>388.44904927504945</v>
      </c>
      <c r="S19" s="226">
        <v>412.84005333099714</v>
      </c>
      <c r="T19" s="226">
        <v>447.06956607256569</v>
      </c>
      <c r="U19" s="226">
        <v>504.18753127258287</v>
      </c>
      <c r="V19" s="226">
        <v>598.00155515038762</v>
      </c>
      <c r="W19" s="226">
        <v>675.59014147309085</v>
      </c>
      <c r="X19" s="226">
        <v>689.54578966510803</v>
      </c>
      <c r="Y19" s="226">
        <v>753.19019850912457</v>
      </c>
      <c r="Z19" s="226">
        <v>797.13836123236001</v>
      </c>
      <c r="AA19" s="226">
        <v>835.36890003580061</v>
      </c>
      <c r="AB19" s="226">
        <v>772.54913418195395</v>
      </c>
    </row>
    <row r="20" spans="1:28">
      <c r="A20" s="217" t="s">
        <v>718</v>
      </c>
      <c r="B20" s="217" t="s">
        <v>719</v>
      </c>
      <c r="C20" s="217">
        <v>12</v>
      </c>
      <c r="D20" s="217" t="s">
        <v>664</v>
      </c>
      <c r="E20" s="226">
        <v>255.3092</v>
      </c>
      <c r="F20" s="226">
        <v>252.64680999999999</v>
      </c>
      <c r="G20" s="226">
        <v>330.34233999999998</v>
      </c>
      <c r="H20" s="226">
        <v>439.54140999999998</v>
      </c>
      <c r="I20" s="226">
        <v>537.44506000000001</v>
      </c>
      <c r="J20" s="226">
        <v>623.56852000000003</v>
      </c>
      <c r="K20" s="226">
        <v>768.74</v>
      </c>
      <c r="L20" s="226">
        <v>975.77</v>
      </c>
      <c r="M20" s="226">
        <v>1338.42</v>
      </c>
      <c r="N20" s="226">
        <v>1638.02</v>
      </c>
      <c r="O20" s="226">
        <v>1999.11</v>
      </c>
      <c r="P20" s="226">
        <v>2778.45</v>
      </c>
      <c r="Q20" s="226">
        <v>333.78324139462239</v>
      </c>
      <c r="R20" s="226">
        <v>252.64680952849298</v>
      </c>
      <c r="S20" s="226">
        <v>298.62762148120743</v>
      </c>
      <c r="T20" s="226">
        <v>344.78876935003728</v>
      </c>
      <c r="U20" s="226">
        <v>358.25207298623991</v>
      </c>
      <c r="V20" s="226">
        <v>342.82507198856462</v>
      </c>
      <c r="W20" s="226">
        <v>384.6177287852596</v>
      </c>
      <c r="X20" s="226">
        <v>416.51485401852318</v>
      </c>
      <c r="Y20" s="226">
        <v>484.9965964035249</v>
      </c>
      <c r="Z20" s="226">
        <v>500.19290868081384</v>
      </c>
      <c r="AA20" s="226">
        <v>509.93594381237023</v>
      </c>
      <c r="AB20" s="226">
        <v>547.95397364187647</v>
      </c>
    </row>
    <row r="21" spans="1:28">
      <c r="A21" s="217" t="s">
        <v>711</v>
      </c>
      <c r="B21" s="217" t="s">
        <v>712</v>
      </c>
      <c r="C21" s="217">
        <v>13</v>
      </c>
      <c r="D21" s="217" t="s">
        <v>713</v>
      </c>
      <c r="E21" s="226">
        <v>241.9888</v>
      </c>
      <c r="F21" s="226">
        <v>305.52922000000001</v>
      </c>
      <c r="G21" s="226">
        <v>385.62405999999999</v>
      </c>
      <c r="H21" s="226">
        <v>510.36658</v>
      </c>
      <c r="I21" s="226">
        <v>668.15731000000005</v>
      </c>
      <c r="J21" s="226">
        <v>842.97280999999998</v>
      </c>
      <c r="K21" s="226">
        <v>922.09</v>
      </c>
      <c r="L21" s="226">
        <v>1049.3599999999999</v>
      </c>
      <c r="M21" s="226">
        <v>1457.23</v>
      </c>
      <c r="N21" s="226">
        <v>1968.97</v>
      </c>
      <c r="O21" s="226">
        <v>2663.53</v>
      </c>
      <c r="P21" s="226">
        <v>3262.88</v>
      </c>
      <c r="Q21" s="226">
        <v>316.36856817222019</v>
      </c>
      <c r="R21" s="226">
        <v>305.52921942980021</v>
      </c>
      <c r="S21" s="226">
        <v>348.60198612059969</v>
      </c>
      <c r="T21" s="226">
        <v>400.34604483702083</v>
      </c>
      <c r="U21" s="226">
        <v>445.38271760914455</v>
      </c>
      <c r="V21" s="226">
        <v>463.44901162209504</v>
      </c>
      <c r="W21" s="226">
        <v>461.34214628561028</v>
      </c>
      <c r="X21" s="226">
        <v>447.92730583321628</v>
      </c>
      <c r="Y21" s="226">
        <v>528.04918499208657</v>
      </c>
      <c r="Z21" s="226">
        <v>601.25323952409747</v>
      </c>
      <c r="AA21" s="226">
        <v>679.41718285765296</v>
      </c>
      <c r="AB21" s="226">
        <v>643.49117728107615</v>
      </c>
    </row>
    <row r="22" spans="1:28">
      <c r="A22" s="217" t="s">
        <v>714</v>
      </c>
      <c r="B22" s="217" t="s">
        <v>530</v>
      </c>
      <c r="C22" s="217">
        <v>14</v>
      </c>
      <c r="D22" s="217" t="s">
        <v>641</v>
      </c>
      <c r="E22" s="226">
        <v>249.64909</v>
      </c>
      <c r="F22" s="226">
        <v>223.76374000000001</v>
      </c>
      <c r="G22" s="226">
        <v>279.42284000000001</v>
      </c>
      <c r="H22" s="226">
        <v>350.81824999999998</v>
      </c>
      <c r="I22" s="226">
        <v>498.21803999999997</v>
      </c>
      <c r="J22" s="226">
        <v>551.97340999999994</v>
      </c>
      <c r="K22" s="226">
        <v>684.26</v>
      </c>
      <c r="L22" s="226">
        <v>885.41</v>
      </c>
      <c r="M22" s="226">
        <v>1234.7</v>
      </c>
      <c r="N22" s="226">
        <v>1475.6</v>
      </c>
      <c r="O22" s="226">
        <v>2160.65</v>
      </c>
      <c r="P22" s="226">
        <v>2783.1</v>
      </c>
      <c r="Q22" s="226">
        <v>326.38339108585905</v>
      </c>
      <c r="R22" s="226">
        <v>223.7637395823966</v>
      </c>
      <c r="S22" s="226">
        <v>252.59667924106847</v>
      </c>
      <c r="T22" s="226">
        <v>275.19180202619293</v>
      </c>
      <c r="U22" s="226">
        <v>332.103984040976</v>
      </c>
      <c r="V22" s="226">
        <v>303.46356166123246</v>
      </c>
      <c r="W22" s="226">
        <v>342.35050485027671</v>
      </c>
      <c r="X22" s="226">
        <v>377.94400001695135</v>
      </c>
      <c r="Y22" s="226">
        <v>447.41209603818845</v>
      </c>
      <c r="Z22" s="226">
        <v>450.59563134113677</v>
      </c>
      <c r="AA22" s="226">
        <v>551.14180660303725</v>
      </c>
      <c r="AB22" s="226">
        <v>548.8710266669209</v>
      </c>
    </row>
    <row r="23" spans="1:28">
      <c r="A23" s="217" t="s">
        <v>620</v>
      </c>
      <c r="B23" s="217" t="s">
        <v>621</v>
      </c>
      <c r="C23" s="217">
        <v>15</v>
      </c>
      <c r="D23" s="217" t="s">
        <v>541</v>
      </c>
      <c r="E23" s="226">
        <v>312.91973000000002</v>
      </c>
      <c r="F23" s="226">
        <v>372.32690000000002</v>
      </c>
      <c r="G23" s="226">
        <v>428.11937</v>
      </c>
      <c r="H23" s="226">
        <v>643.40610000000004</v>
      </c>
      <c r="I23" s="226">
        <v>803.07726000000002</v>
      </c>
      <c r="J23" s="226">
        <v>1035.4804999999999</v>
      </c>
      <c r="K23" s="226">
        <v>1187.72</v>
      </c>
      <c r="L23" s="226">
        <v>1496</v>
      </c>
      <c r="M23" s="226">
        <v>1776.32</v>
      </c>
      <c r="N23" s="226">
        <v>2159.29</v>
      </c>
      <c r="O23" s="226">
        <v>2896.64</v>
      </c>
      <c r="P23" s="226">
        <v>3992.44</v>
      </c>
      <c r="Q23" s="226">
        <v>409.10144160778407</v>
      </c>
      <c r="R23" s="226">
        <v>372.32689930513772</v>
      </c>
      <c r="S23" s="226">
        <v>387.0175078772312</v>
      </c>
      <c r="T23" s="226">
        <v>504.70602397008975</v>
      </c>
      <c r="U23" s="226">
        <v>535.31814612475853</v>
      </c>
      <c r="V23" s="226">
        <v>569.28575700911722</v>
      </c>
      <c r="W23" s="226">
        <v>594.24274635485153</v>
      </c>
      <c r="X23" s="226">
        <v>638.57899055280518</v>
      </c>
      <c r="Y23" s="226">
        <v>643.67624073423087</v>
      </c>
      <c r="Z23" s="226">
        <v>659.37018216224135</v>
      </c>
      <c r="AA23" s="226">
        <v>738.87922739852445</v>
      </c>
      <c r="AB23" s="226">
        <v>787.37186651794104</v>
      </c>
    </row>
    <row r="24" spans="1:28">
      <c r="A24" s="217" t="s">
        <v>622</v>
      </c>
      <c r="B24" s="217" t="s">
        <v>925</v>
      </c>
      <c r="C24" s="217">
        <v>16</v>
      </c>
      <c r="D24" s="217" t="s">
        <v>541</v>
      </c>
      <c r="E24" s="226" t="s">
        <v>3573</v>
      </c>
      <c r="F24" s="226" t="s">
        <v>3573</v>
      </c>
      <c r="G24" s="226" t="s">
        <v>3573</v>
      </c>
      <c r="H24" s="226">
        <v>556.75804000000005</v>
      </c>
      <c r="I24" s="226">
        <v>719.65836000000002</v>
      </c>
      <c r="J24" s="226">
        <v>999.75085000000001</v>
      </c>
      <c r="K24" s="226">
        <v>1052.33</v>
      </c>
      <c r="L24" s="226">
        <v>1356.53</v>
      </c>
      <c r="M24" s="226">
        <v>1908.74</v>
      </c>
      <c r="N24" s="226">
        <v>2457.1999999999998</v>
      </c>
      <c r="O24" s="226">
        <v>3083.94</v>
      </c>
      <c r="P24" s="226">
        <v>3726.43</v>
      </c>
      <c r="Q24" s="226"/>
      <c r="R24" s="226"/>
      <c r="S24" s="226"/>
      <c r="T24" s="226">
        <v>436.7368240397164</v>
      </c>
      <c r="U24" s="226">
        <v>479.71247388873149</v>
      </c>
      <c r="V24" s="226">
        <v>549.64233460964113</v>
      </c>
      <c r="W24" s="226">
        <v>526.50411651870877</v>
      </c>
      <c r="X24" s="226">
        <v>579.0451591274043</v>
      </c>
      <c r="Y24" s="226">
        <v>691.6606173094126</v>
      </c>
      <c r="Z24" s="226">
        <v>750.34127496031533</v>
      </c>
      <c r="AA24" s="226">
        <v>786.65598919555259</v>
      </c>
      <c r="AB24" s="226">
        <v>734.91051701426966</v>
      </c>
    </row>
    <row r="25" spans="1:28">
      <c r="A25" s="217" t="s">
        <v>926</v>
      </c>
      <c r="B25" s="217" t="s">
        <v>927</v>
      </c>
      <c r="C25" s="217">
        <v>17</v>
      </c>
      <c r="D25" s="217" t="s">
        <v>664</v>
      </c>
      <c r="E25" s="226">
        <v>204.61313999999999</v>
      </c>
      <c r="F25" s="226">
        <v>265.38017000000002</v>
      </c>
      <c r="G25" s="226">
        <v>269.21958000000001</v>
      </c>
      <c r="H25" s="226">
        <v>333.17343</v>
      </c>
      <c r="I25" s="226">
        <v>432.60385000000002</v>
      </c>
      <c r="J25" s="226">
        <v>545.22865000000002</v>
      </c>
      <c r="K25" s="226">
        <v>717.38</v>
      </c>
      <c r="L25" s="226">
        <v>936.24</v>
      </c>
      <c r="M25" s="226">
        <v>1258.53</v>
      </c>
      <c r="N25" s="226">
        <v>1590.7</v>
      </c>
      <c r="O25" s="226">
        <v>1956.53</v>
      </c>
      <c r="P25" s="226">
        <v>2851.2</v>
      </c>
      <c r="Q25" s="226">
        <v>267.50480241656652</v>
      </c>
      <c r="R25" s="226">
        <v>265.38016950472917</v>
      </c>
      <c r="S25" s="226">
        <v>243.37298946168886</v>
      </c>
      <c r="T25" s="226">
        <v>261.35070392987723</v>
      </c>
      <c r="U25" s="226">
        <v>288.36663982794522</v>
      </c>
      <c r="V25" s="226">
        <v>299.75543214798256</v>
      </c>
      <c r="W25" s="226">
        <v>358.92117787024159</v>
      </c>
      <c r="X25" s="226">
        <v>399.64117253687056</v>
      </c>
      <c r="Y25" s="226">
        <v>456.04725457758263</v>
      </c>
      <c r="Z25" s="226">
        <v>485.74306775165786</v>
      </c>
      <c r="AA25" s="226">
        <v>499.07457425915374</v>
      </c>
      <c r="AB25" s="226">
        <v>562.30141613047499</v>
      </c>
    </row>
    <row r="26" spans="1:28">
      <c r="A26" s="217" t="s">
        <v>928</v>
      </c>
      <c r="B26" s="217" t="s">
        <v>929</v>
      </c>
      <c r="C26" s="217">
        <v>18</v>
      </c>
      <c r="D26" s="217" t="s">
        <v>713</v>
      </c>
      <c r="E26" s="226">
        <v>211.43859</v>
      </c>
      <c r="F26" s="226">
        <v>275.75054</v>
      </c>
      <c r="G26" s="226">
        <v>321.30705999999998</v>
      </c>
      <c r="H26" s="226">
        <v>414.95551</v>
      </c>
      <c r="I26" s="226">
        <v>474.21251999999998</v>
      </c>
      <c r="J26" s="226">
        <v>633.78648999999996</v>
      </c>
      <c r="K26" s="226">
        <v>721.39</v>
      </c>
      <c r="L26" s="226">
        <v>909.64</v>
      </c>
      <c r="M26" s="226">
        <v>1245.73</v>
      </c>
      <c r="N26" s="226">
        <v>1424.06</v>
      </c>
      <c r="O26" s="226">
        <v>2052.7800000000002</v>
      </c>
      <c r="P26" s="226">
        <v>2748.18</v>
      </c>
      <c r="Q26" s="226">
        <v>276.42818169540539</v>
      </c>
      <c r="R26" s="226">
        <v>275.75053948537521</v>
      </c>
      <c r="S26" s="226">
        <v>290.45977906713262</v>
      </c>
      <c r="T26" s="226">
        <v>325.50289090604019</v>
      </c>
      <c r="U26" s="226">
        <v>316.10229764885878</v>
      </c>
      <c r="V26" s="226">
        <v>348.44270050648112</v>
      </c>
      <c r="W26" s="226">
        <v>360.92747010484482</v>
      </c>
      <c r="X26" s="226">
        <v>388.28676000431398</v>
      </c>
      <c r="Y26" s="226">
        <v>451.40898226099659</v>
      </c>
      <c r="Z26" s="226">
        <v>434.85715286504421</v>
      </c>
      <c r="AA26" s="226">
        <v>523.62616701389993</v>
      </c>
      <c r="AB26" s="226">
        <v>541.98425427239363</v>
      </c>
    </row>
    <row r="27" spans="1:28">
      <c r="A27" s="217" t="s">
        <v>841</v>
      </c>
      <c r="B27" s="217" t="s">
        <v>659</v>
      </c>
      <c r="C27" s="217">
        <v>19</v>
      </c>
      <c r="D27" s="217" t="s">
        <v>713</v>
      </c>
      <c r="E27" s="226">
        <v>225.06906000000001</v>
      </c>
      <c r="F27" s="226">
        <v>257.59870000000001</v>
      </c>
      <c r="G27" s="226">
        <v>356.74979999999999</v>
      </c>
      <c r="H27" s="226">
        <v>413.73478999999998</v>
      </c>
      <c r="I27" s="226">
        <v>515.75653</v>
      </c>
      <c r="J27" s="226">
        <v>624.80291</v>
      </c>
      <c r="K27" s="226">
        <v>721.44</v>
      </c>
      <c r="L27" s="226">
        <v>1048.49</v>
      </c>
      <c r="M27" s="226">
        <v>1296.9100000000001</v>
      </c>
      <c r="N27" s="226">
        <v>1701.33</v>
      </c>
      <c r="O27" s="226">
        <v>2271.9899999999998</v>
      </c>
      <c r="P27" s="226">
        <v>3157.79</v>
      </c>
      <c r="Q27" s="226">
        <v>294.24823071178298</v>
      </c>
      <c r="R27" s="226">
        <v>257.59869951925145</v>
      </c>
      <c r="S27" s="226">
        <v>322.49981712273529</v>
      </c>
      <c r="T27" s="226">
        <v>324.54532345745559</v>
      </c>
      <c r="U27" s="226">
        <v>343.79485417298253</v>
      </c>
      <c r="V27" s="226">
        <v>343.5037140736589</v>
      </c>
      <c r="W27" s="226">
        <v>360.95248621749579</v>
      </c>
      <c r="X27" s="226">
        <v>447.55593970903124</v>
      </c>
      <c r="Y27" s="226">
        <v>469.9548242268462</v>
      </c>
      <c r="Z27" s="226">
        <v>519.52552552833845</v>
      </c>
      <c r="AA27" s="226">
        <v>579.54257893876127</v>
      </c>
      <c r="AB27" s="226">
        <v>622.76577891507179</v>
      </c>
    </row>
    <row r="28" spans="1:28">
      <c r="A28" s="217" t="s">
        <v>660</v>
      </c>
      <c r="B28" s="217" t="s">
        <v>661</v>
      </c>
      <c r="C28" s="217">
        <v>20</v>
      </c>
      <c r="D28" s="217" t="s">
        <v>541</v>
      </c>
      <c r="E28" s="226">
        <v>454.33492000000001</v>
      </c>
      <c r="F28" s="226">
        <v>530.98604999999998</v>
      </c>
      <c r="G28" s="226">
        <v>709.19203000000005</v>
      </c>
      <c r="H28" s="226">
        <v>978.02108999999996</v>
      </c>
      <c r="I28" s="226">
        <v>1340.9476999999999</v>
      </c>
      <c r="J28" s="226">
        <v>1830.3987999999999</v>
      </c>
      <c r="K28" s="226">
        <v>2132.62</v>
      </c>
      <c r="L28" s="226">
        <v>2597.0500000000002</v>
      </c>
      <c r="M28" s="226">
        <v>3204.1</v>
      </c>
      <c r="N28" s="226">
        <v>3532.32</v>
      </c>
      <c r="O28" s="226">
        <v>4497.08</v>
      </c>
      <c r="P28" s="226">
        <v>6020.53</v>
      </c>
      <c r="Q28" s="226">
        <v>593.98322612881339</v>
      </c>
      <c r="R28" s="226">
        <v>530.98604900903695</v>
      </c>
      <c r="S28" s="226">
        <v>641.105615139522</v>
      </c>
      <c r="T28" s="226">
        <v>767.18752851860313</v>
      </c>
      <c r="U28" s="226">
        <v>893.85377045075177</v>
      </c>
      <c r="V28" s="226">
        <v>1006.315393178896</v>
      </c>
      <c r="W28" s="226">
        <v>1066.9972432318082</v>
      </c>
      <c r="X28" s="226">
        <v>1108.5705664539857</v>
      </c>
      <c r="Y28" s="226">
        <v>1161.0537757479221</v>
      </c>
      <c r="Z28" s="226">
        <v>1078.6445923684769</v>
      </c>
      <c r="AA28" s="226">
        <v>1147.1218363170281</v>
      </c>
      <c r="AB28" s="226">
        <v>1187.3430642732915</v>
      </c>
    </row>
    <row r="29" spans="1:28">
      <c r="A29" s="217" t="s">
        <v>80</v>
      </c>
      <c r="B29" s="217" t="s">
        <v>747</v>
      </c>
      <c r="C29" s="217">
        <v>21</v>
      </c>
      <c r="D29" s="217" t="s">
        <v>759</v>
      </c>
      <c r="E29" s="226">
        <v>254.97318000000001</v>
      </c>
      <c r="F29" s="226">
        <v>304.64339000000001</v>
      </c>
      <c r="G29" s="226">
        <v>417.79428999999999</v>
      </c>
      <c r="H29" s="226">
        <v>512.89206999999999</v>
      </c>
      <c r="I29" s="226">
        <v>687.02346999999997</v>
      </c>
      <c r="J29" s="226">
        <v>872.51292999999998</v>
      </c>
      <c r="K29" s="226">
        <v>976.97</v>
      </c>
      <c r="L29" s="226">
        <v>1255.77</v>
      </c>
      <c r="M29" s="226">
        <v>1728.37</v>
      </c>
      <c r="N29" s="226">
        <v>2271.59</v>
      </c>
      <c r="O29" s="226">
        <v>2760.46</v>
      </c>
      <c r="P29" s="226">
        <v>3636.85</v>
      </c>
      <c r="Q29" s="226">
        <v>333.34393938445817</v>
      </c>
      <c r="R29" s="226">
        <v>304.64338943145339</v>
      </c>
      <c r="S29" s="226">
        <v>377.68369350150454</v>
      </c>
      <c r="T29" s="226">
        <v>402.32711094204564</v>
      </c>
      <c r="U29" s="226">
        <v>457.95859081428677</v>
      </c>
      <c r="V29" s="226">
        <v>479.68955847579258</v>
      </c>
      <c r="W29" s="226">
        <v>488.79983153125255</v>
      </c>
      <c r="X29" s="226">
        <v>536.03498594017117</v>
      </c>
      <c r="Y29" s="226">
        <v>626.30083779826975</v>
      </c>
      <c r="Z29" s="226">
        <v>693.66259839943962</v>
      </c>
      <c r="AA29" s="226">
        <v>704.14223102095218</v>
      </c>
      <c r="AB29" s="226">
        <v>717.24393422212324</v>
      </c>
    </row>
    <row r="30" spans="1:28">
      <c r="A30" s="217" t="s">
        <v>721</v>
      </c>
      <c r="B30" s="217" t="s">
        <v>722</v>
      </c>
      <c r="C30" s="217">
        <v>22</v>
      </c>
      <c r="D30" s="217" t="s">
        <v>664</v>
      </c>
      <c r="E30" s="226">
        <v>186.89036999999999</v>
      </c>
      <c r="F30" s="226">
        <v>207.21408</v>
      </c>
      <c r="G30" s="226">
        <v>274.64706999999999</v>
      </c>
      <c r="H30" s="226">
        <v>333.94123000000002</v>
      </c>
      <c r="I30" s="226">
        <v>428.55383</v>
      </c>
      <c r="J30" s="226">
        <v>485.26661000000001</v>
      </c>
      <c r="K30" s="226">
        <v>578.24</v>
      </c>
      <c r="L30" s="226">
        <v>762.54</v>
      </c>
      <c r="M30" s="226">
        <v>957.8</v>
      </c>
      <c r="N30" s="226">
        <v>1357.17</v>
      </c>
      <c r="O30" s="226">
        <v>1760.02</v>
      </c>
      <c r="P30" s="226">
        <v>2054.9699999999998</v>
      </c>
      <c r="Q30" s="226">
        <v>244.33460871774417</v>
      </c>
      <c r="R30" s="226">
        <v>207.21407961328271</v>
      </c>
      <c r="S30" s="226">
        <v>248.27940996265474</v>
      </c>
      <c r="T30" s="226">
        <v>261.95298806303089</v>
      </c>
      <c r="U30" s="226">
        <v>285.66696284024391</v>
      </c>
      <c r="V30" s="226">
        <v>266.78954304315539</v>
      </c>
      <c r="W30" s="226">
        <v>289.30633958528045</v>
      </c>
      <c r="X30" s="226">
        <v>325.49600498404817</v>
      </c>
      <c r="Y30" s="226">
        <v>347.07322068954147</v>
      </c>
      <c r="Z30" s="226">
        <v>414.43133165305682</v>
      </c>
      <c r="AA30" s="226">
        <v>448.94851200216493</v>
      </c>
      <c r="AB30" s="226">
        <v>405.27235588722016</v>
      </c>
    </row>
    <row r="31" spans="1:28">
      <c r="A31" s="217" t="s">
        <v>723</v>
      </c>
      <c r="B31" s="217" t="s">
        <v>724</v>
      </c>
      <c r="C31" s="217">
        <v>23</v>
      </c>
      <c r="D31" s="217" t="s">
        <v>541</v>
      </c>
      <c r="E31" s="226">
        <v>454.80140999999998</v>
      </c>
      <c r="F31" s="226">
        <v>613.55516999999998</v>
      </c>
      <c r="G31" s="226">
        <v>860.88057000000003</v>
      </c>
      <c r="H31" s="226">
        <v>1095.4568999999999</v>
      </c>
      <c r="I31" s="226">
        <v>1459.6362999999999</v>
      </c>
      <c r="J31" s="226">
        <v>1699.6087</v>
      </c>
      <c r="K31" s="226">
        <v>1998.43</v>
      </c>
      <c r="L31" s="226">
        <v>2419.09</v>
      </c>
      <c r="M31" s="226">
        <v>3044.44</v>
      </c>
      <c r="N31" s="226">
        <v>4250.62</v>
      </c>
      <c r="O31" s="226">
        <v>5569.04</v>
      </c>
      <c r="P31" s="226">
        <v>6815.17</v>
      </c>
      <c r="Q31" s="226">
        <v>594.59310052534192</v>
      </c>
      <c r="R31" s="226">
        <v>613.5551688549408</v>
      </c>
      <c r="S31" s="226">
        <v>778.23120402454651</v>
      </c>
      <c r="T31" s="226">
        <v>859.30751422717333</v>
      </c>
      <c r="U31" s="226">
        <v>972.96964694580163</v>
      </c>
      <c r="V31" s="226">
        <v>934.40970196810247</v>
      </c>
      <c r="W31" s="226">
        <v>999.85900009928764</v>
      </c>
      <c r="X31" s="226">
        <v>1032.6069854654984</v>
      </c>
      <c r="Y31" s="226">
        <v>1103.1985758990058</v>
      </c>
      <c r="Z31" s="226">
        <v>1297.9878032605468</v>
      </c>
      <c r="AA31" s="226">
        <v>1420.5589830118615</v>
      </c>
      <c r="AB31" s="226">
        <v>1344.0585515466923</v>
      </c>
    </row>
    <row r="32" spans="1:28">
      <c r="A32" s="217" t="s">
        <v>725</v>
      </c>
      <c r="B32" s="217" t="s">
        <v>726</v>
      </c>
      <c r="C32" s="217">
        <v>24</v>
      </c>
      <c r="D32" s="217" t="s">
        <v>664</v>
      </c>
      <c r="E32" s="226">
        <v>199.08373</v>
      </c>
      <c r="F32" s="226">
        <v>235.06238999999999</v>
      </c>
      <c r="G32" s="226">
        <v>274.46704</v>
      </c>
      <c r="H32" s="226">
        <v>637.05670999999995</v>
      </c>
      <c r="I32" s="226">
        <v>585.52748999999994</v>
      </c>
      <c r="J32" s="226">
        <v>658.77449999999999</v>
      </c>
      <c r="K32" s="226">
        <v>827.61</v>
      </c>
      <c r="L32" s="226">
        <v>1092.21</v>
      </c>
      <c r="M32" s="226">
        <v>1417.48</v>
      </c>
      <c r="N32" s="226">
        <v>1727.09</v>
      </c>
      <c r="O32" s="226">
        <v>2198.12</v>
      </c>
      <c r="P32" s="226">
        <v>2915.49</v>
      </c>
      <c r="Q32" s="226">
        <v>260.27582518895451</v>
      </c>
      <c r="R32" s="226">
        <v>235.06238956131025</v>
      </c>
      <c r="S32" s="226">
        <v>248.11666385298179</v>
      </c>
      <c r="T32" s="226">
        <v>499.72538206828699</v>
      </c>
      <c r="U32" s="226">
        <v>390.30303317501858</v>
      </c>
      <c r="V32" s="226">
        <v>362.18059145566019</v>
      </c>
      <c r="W32" s="226">
        <v>414.07169982044473</v>
      </c>
      <c r="X32" s="226">
        <v>466.21815459336858</v>
      </c>
      <c r="Y32" s="226">
        <v>513.64517525893848</v>
      </c>
      <c r="Z32" s="226">
        <v>527.39171112290865</v>
      </c>
      <c r="AA32" s="226">
        <v>560.69970977727451</v>
      </c>
      <c r="AB32" s="226">
        <v>574.98041376060553</v>
      </c>
    </row>
    <row r="33" spans="1:28">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row>
    <row r="34" spans="1:28">
      <c r="A34" s="3" t="s">
        <v>727</v>
      </c>
      <c r="E34" s="226">
        <v>309.79973603388316</v>
      </c>
      <c r="F34" s="226">
        <v>353.50138281552944</v>
      </c>
      <c r="G34" s="226">
        <v>438.81704070761089</v>
      </c>
      <c r="H34" s="226">
        <v>562.73723291916644</v>
      </c>
      <c r="I34" s="226">
        <v>708.3836845425983</v>
      </c>
      <c r="J34" s="226">
        <v>894.81274484517598</v>
      </c>
      <c r="K34" s="226">
        <v>1053.7488496622855</v>
      </c>
      <c r="L34" s="226">
        <v>1341.4267037058239</v>
      </c>
      <c r="M34" s="226">
        <v>1751.1625350756797</v>
      </c>
      <c r="N34" s="226">
        <v>2142.4462113317441</v>
      </c>
      <c r="O34" s="226">
        <v>2734.0170024630052</v>
      </c>
      <c r="P34" s="226">
        <v>3537.2724602172134</v>
      </c>
      <c r="Q34" s="226">
        <v>405.02245934180166</v>
      </c>
      <c r="R34" s="226">
        <v>353.50138215580063</v>
      </c>
      <c r="S34" s="226">
        <v>396.6881421616618</v>
      </c>
      <c r="T34" s="226">
        <v>441.42707283403558</v>
      </c>
      <c r="U34" s="226">
        <v>472.19695992185041</v>
      </c>
      <c r="V34" s="226">
        <v>491.94953534189403</v>
      </c>
      <c r="W34" s="226">
        <v>527.21399857843767</v>
      </c>
      <c r="X34" s="226">
        <v>572.59820210764838</v>
      </c>
      <c r="Y34" s="226">
        <v>634.56005533470272</v>
      </c>
      <c r="Z34" s="226">
        <v>654.22668962418936</v>
      </c>
      <c r="AA34" s="226">
        <v>697.39711198985549</v>
      </c>
      <c r="AB34" s="226">
        <v>697.60567958034096</v>
      </c>
    </row>
    <row r="35" spans="1:28" ht="275">
      <c r="A35" s="135" t="s">
        <v>728</v>
      </c>
      <c r="B35" s="7"/>
      <c r="C35" s="7"/>
      <c r="D35" s="7"/>
      <c r="E35" s="1" t="s">
        <v>3578</v>
      </c>
      <c r="F35" s="1" t="s">
        <v>3578</v>
      </c>
      <c r="G35" s="1" t="s">
        <v>3578</v>
      </c>
      <c r="H35" s="1" t="s">
        <v>3578</v>
      </c>
      <c r="I35" s="1" t="s">
        <v>3578</v>
      </c>
      <c r="J35" s="1" t="s">
        <v>3578</v>
      </c>
      <c r="K35" s="1" t="s">
        <v>3578</v>
      </c>
      <c r="L35" s="1" t="s">
        <v>3578</v>
      </c>
      <c r="M35" s="1" t="s">
        <v>3578</v>
      </c>
      <c r="N35" s="1" t="s">
        <v>3578</v>
      </c>
      <c r="O35" s="1" t="s">
        <v>3578</v>
      </c>
      <c r="P35" s="1" t="s">
        <v>3578</v>
      </c>
      <c r="Q35" s="1" t="s">
        <v>3611</v>
      </c>
      <c r="R35" s="1" t="s">
        <v>3611</v>
      </c>
      <c r="S35" s="1" t="s">
        <v>3611</v>
      </c>
      <c r="T35" s="1" t="s">
        <v>3611</v>
      </c>
      <c r="U35" s="1" t="s">
        <v>3611</v>
      </c>
      <c r="V35" s="1" t="s">
        <v>3611</v>
      </c>
      <c r="W35" s="1" t="s">
        <v>3611</v>
      </c>
      <c r="X35" s="1" t="s">
        <v>3611</v>
      </c>
      <c r="Y35" s="1" t="s">
        <v>3611</v>
      </c>
      <c r="Z35" s="1" t="s">
        <v>3611</v>
      </c>
      <c r="AA35" s="1" t="s">
        <v>3611</v>
      </c>
      <c r="AB35" s="1" t="s">
        <v>3611</v>
      </c>
    </row>
    <row r="36" spans="1:28" ht="132">
      <c r="A36" s="227" t="s">
        <v>2212</v>
      </c>
      <c r="B36" s="1"/>
      <c r="C36" s="1"/>
      <c r="D36" s="1"/>
      <c r="E36" s="1" t="s">
        <v>3579</v>
      </c>
      <c r="F36" s="1" t="s">
        <v>3579</v>
      </c>
      <c r="G36" s="1" t="s">
        <v>3579</v>
      </c>
      <c r="H36" s="1" t="s">
        <v>3579</v>
      </c>
      <c r="I36" s="1" t="s">
        <v>3579</v>
      </c>
      <c r="J36" s="1" t="s">
        <v>3579</v>
      </c>
      <c r="K36" s="1" t="s">
        <v>3579</v>
      </c>
      <c r="L36" s="1" t="s">
        <v>3579</v>
      </c>
      <c r="M36" s="1" t="s">
        <v>3579</v>
      </c>
      <c r="N36" s="1" t="s">
        <v>3579</v>
      </c>
      <c r="O36" s="1" t="s">
        <v>3579</v>
      </c>
      <c r="P36" s="1" t="s">
        <v>3579</v>
      </c>
      <c r="Q36" s="1" t="s">
        <v>3580</v>
      </c>
      <c r="R36" s="1" t="s">
        <v>3580</v>
      </c>
      <c r="S36" s="1" t="s">
        <v>3580</v>
      </c>
      <c r="T36" s="1" t="s">
        <v>3580</v>
      </c>
      <c r="U36" s="1" t="s">
        <v>3580</v>
      </c>
      <c r="V36" s="1" t="s">
        <v>3580</v>
      </c>
      <c r="W36" s="1" t="s">
        <v>3580</v>
      </c>
      <c r="X36" s="1" t="s">
        <v>3580</v>
      </c>
      <c r="Y36" s="1" t="s">
        <v>3580</v>
      </c>
      <c r="Z36" s="1" t="s">
        <v>3580</v>
      </c>
      <c r="AA36" s="1" t="s">
        <v>3580</v>
      </c>
      <c r="AB36" s="1" t="s">
        <v>3580</v>
      </c>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topLeftCell="M1" workbookViewId="0">
      <selection activeCell="M27" sqref="M27"/>
    </sheetView>
  </sheetViews>
  <sheetFormatPr baseColWidth="10" defaultRowHeight="13" x14ac:dyDescent="0"/>
  <cols>
    <col min="1" max="1" width="15.140625" style="3" customWidth="1"/>
    <col min="2" max="3" width="5.7109375" style="3" customWidth="1"/>
    <col min="4" max="4" width="10.7109375" style="3"/>
  </cols>
  <sheetData>
    <row r="1" spans="1:38">
      <c r="A1" s="184" t="s">
        <v>2404</v>
      </c>
    </row>
    <row r="2" spans="1:38">
      <c r="A2" s="42" t="s">
        <v>614</v>
      </c>
      <c r="B2" s="42"/>
      <c r="C2" s="42"/>
      <c r="D2" s="42"/>
      <c r="F2" s="118" t="s">
        <v>2090</v>
      </c>
      <c r="G2" s="118" t="s">
        <v>2090</v>
      </c>
      <c r="H2" s="118" t="s">
        <v>2090</v>
      </c>
      <c r="I2" s="118" t="s">
        <v>2090</v>
      </c>
      <c r="J2" s="118" t="s">
        <v>2090</v>
      </c>
      <c r="K2" s="118" t="s">
        <v>2090</v>
      </c>
      <c r="L2" s="118" t="s">
        <v>2090</v>
      </c>
      <c r="M2" s="118" t="s">
        <v>2090</v>
      </c>
      <c r="N2" s="118" t="s">
        <v>2090</v>
      </c>
      <c r="O2" s="118" t="s">
        <v>2090</v>
      </c>
      <c r="P2" s="118" t="s">
        <v>2090</v>
      </c>
      <c r="Q2" s="118" t="s">
        <v>2090</v>
      </c>
      <c r="R2" s="118" t="s">
        <v>2090</v>
      </c>
      <c r="S2" s="118" t="s">
        <v>2090</v>
      </c>
      <c r="T2" s="118" t="s">
        <v>2090</v>
      </c>
      <c r="U2" s="118" t="s">
        <v>2090</v>
      </c>
      <c r="V2" s="118" t="s">
        <v>2090</v>
      </c>
      <c r="W2" s="118" t="s">
        <v>2090</v>
      </c>
      <c r="X2" s="118" t="s">
        <v>2090</v>
      </c>
      <c r="Y2" s="118" t="s">
        <v>2090</v>
      </c>
      <c r="Z2" s="118" t="s">
        <v>2090</v>
      </c>
      <c r="AA2" s="118" t="s">
        <v>2090</v>
      </c>
      <c r="AB2" s="118" t="s">
        <v>2090</v>
      </c>
      <c r="AC2" s="118" t="s">
        <v>2090</v>
      </c>
      <c r="AD2" s="118" t="s">
        <v>2090</v>
      </c>
      <c r="AE2" s="118" t="s">
        <v>2090</v>
      </c>
      <c r="AF2" s="118" t="s">
        <v>2090</v>
      </c>
      <c r="AG2" s="118" t="s">
        <v>2090</v>
      </c>
      <c r="AH2" s="118" t="s">
        <v>2090</v>
      </c>
      <c r="AI2" s="118" t="s">
        <v>2090</v>
      </c>
      <c r="AJ2" s="118" t="s">
        <v>2090</v>
      </c>
    </row>
    <row r="3" spans="1:38">
      <c r="A3" s="42" t="s">
        <v>518</v>
      </c>
      <c r="B3" s="42"/>
      <c r="C3" s="42"/>
      <c r="D3" s="42"/>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row>
    <row r="4" spans="1:38">
      <c r="A4" s="42" t="s">
        <v>736</v>
      </c>
      <c r="B4" s="42"/>
      <c r="C4" s="42"/>
      <c r="D4" s="42"/>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row>
    <row r="5" spans="1:38">
      <c r="A5" s="42" t="s">
        <v>737</v>
      </c>
      <c r="B5" s="42"/>
      <c r="C5" s="42"/>
      <c r="D5" s="42"/>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row>
    <row r="6" spans="1:38">
      <c r="A6" s="42" t="s">
        <v>560</v>
      </c>
      <c r="B6" s="42"/>
      <c r="C6" s="42"/>
      <c r="D6" s="42"/>
      <c r="F6" s="118">
        <v>1984</v>
      </c>
      <c r="G6" s="118">
        <v>1985</v>
      </c>
      <c r="H6" s="118">
        <v>1986</v>
      </c>
      <c r="I6" s="118">
        <v>1987</v>
      </c>
      <c r="J6" s="118">
        <v>1988</v>
      </c>
      <c r="K6" s="118">
        <v>1989</v>
      </c>
      <c r="L6" s="118">
        <v>1990</v>
      </c>
      <c r="M6" s="118">
        <v>1991</v>
      </c>
      <c r="N6" s="118">
        <v>1992</v>
      </c>
      <c r="O6" s="118">
        <v>1993</v>
      </c>
      <c r="P6" s="118">
        <v>1994</v>
      </c>
      <c r="Q6" s="118">
        <v>1995</v>
      </c>
      <c r="R6" s="118">
        <v>1996</v>
      </c>
      <c r="S6" s="118">
        <v>1997</v>
      </c>
      <c r="T6" s="118">
        <v>1998</v>
      </c>
      <c r="U6" s="118">
        <v>1999</v>
      </c>
      <c r="V6" s="118">
        <v>2000</v>
      </c>
      <c r="W6" s="118">
        <v>2001</v>
      </c>
      <c r="X6" s="118">
        <v>2002</v>
      </c>
      <c r="Y6" s="118">
        <v>2003</v>
      </c>
      <c r="Z6" s="118">
        <v>2004</v>
      </c>
      <c r="AA6" s="118">
        <v>2005</v>
      </c>
      <c r="AB6" s="118">
        <v>2006</v>
      </c>
      <c r="AC6" s="118">
        <v>2007</v>
      </c>
      <c r="AD6" s="118">
        <v>2008</v>
      </c>
      <c r="AE6" s="118">
        <v>2009</v>
      </c>
      <c r="AF6" s="118">
        <v>2010</v>
      </c>
      <c r="AG6" s="118">
        <v>2011</v>
      </c>
      <c r="AH6" s="118">
        <v>2012</v>
      </c>
      <c r="AI6" s="118">
        <v>2013</v>
      </c>
      <c r="AJ6" s="118">
        <v>2014</v>
      </c>
    </row>
    <row r="7" spans="1:38" ht="77">
      <c r="A7" s="7" t="s">
        <v>3334</v>
      </c>
      <c r="B7" s="1"/>
      <c r="C7" s="1"/>
      <c r="D7" s="1"/>
      <c r="F7" s="1" t="s">
        <v>2087</v>
      </c>
      <c r="G7" s="1" t="s">
        <v>2087</v>
      </c>
      <c r="H7" s="1" t="s">
        <v>2087</v>
      </c>
      <c r="I7" s="1" t="s">
        <v>2087</v>
      </c>
      <c r="J7" s="1" t="s">
        <v>2087</v>
      </c>
      <c r="K7" s="1" t="s">
        <v>2087</v>
      </c>
      <c r="L7" s="1" t="s">
        <v>2087</v>
      </c>
      <c r="M7" s="1" t="s">
        <v>2087</v>
      </c>
      <c r="N7" s="1" t="s">
        <v>2087</v>
      </c>
      <c r="O7" s="1" t="s">
        <v>2087</v>
      </c>
      <c r="P7" s="1" t="s">
        <v>2087</v>
      </c>
      <c r="Q7" s="1" t="s">
        <v>2087</v>
      </c>
      <c r="R7" s="1" t="s">
        <v>2087</v>
      </c>
      <c r="S7" s="1" t="s">
        <v>2087</v>
      </c>
      <c r="T7" s="1" t="s">
        <v>2087</v>
      </c>
      <c r="U7" s="1" t="s">
        <v>2087</v>
      </c>
      <c r="V7" s="1" t="s">
        <v>2087</v>
      </c>
      <c r="W7" s="1" t="s">
        <v>2087</v>
      </c>
      <c r="X7" s="1" t="s">
        <v>2087</v>
      </c>
      <c r="Y7" s="1" t="s">
        <v>2087</v>
      </c>
      <c r="Z7" s="1" t="s">
        <v>2087</v>
      </c>
      <c r="AA7" s="1" t="s">
        <v>2087</v>
      </c>
      <c r="AB7" s="1" t="s">
        <v>2087</v>
      </c>
      <c r="AC7" s="1" t="s">
        <v>2087</v>
      </c>
      <c r="AD7" s="1" t="s">
        <v>2087</v>
      </c>
      <c r="AE7" s="1" t="s">
        <v>2087</v>
      </c>
      <c r="AF7" s="1" t="s">
        <v>2087</v>
      </c>
      <c r="AG7" s="1" t="s">
        <v>2087</v>
      </c>
      <c r="AH7" s="1" t="s">
        <v>2087</v>
      </c>
      <c r="AI7" s="1" t="s">
        <v>2087</v>
      </c>
      <c r="AJ7" s="1" t="s">
        <v>2087</v>
      </c>
      <c r="AK7" s="1" t="s">
        <v>2113</v>
      </c>
    </row>
    <row r="8" spans="1:38">
      <c r="A8" s="9" t="s">
        <v>572</v>
      </c>
      <c r="B8" s="9" t="s">
        <v>770</v>
      </c>
      <c r="C8" s="9" t="s">
        <v>771</v>
      </c>
      <c r="D8" s="9" t="s">
        <v>772</v>
      </c>
      <c r="E8" s="117"/>
      <c r="F8" s="118">
        <v>1984</v>
      </c>
      <c r="G8" s="118">
        <v>1985</v>
      </c>
      <c r="H8" s="118">
        <v>1986</v>
      </c>
      <c r="I8" s="118">
        <v>1987</v>
      </c>
      <c r="J8" s="118">
        <v>1988</v>
      </c>
      <c r="K8" s="118">
        <v>1989</v>
      </c>
      <c r="L8" s="118">
        <v>1990</v>
      </c>
      <c r="M8" s="118">
        <v>1991</v>
      </c>
      <c r="N8" s="118">
        <v>1992</v>
      </c>
      <c r="O8" s="118">
        <v>1993</v>
      </c>
      <c r="P8" s="118">
        <v>1994</v>
      </c>
      <c r="Q8" s="118">
        <v>1995</v>
      </c>
      <c r="R8" s="118">
        <v>1996</v>
      </c>
      <c r="S8" s="118">
        <v>1997</v>
      </c>
      <c r="T8" s="118">
        <v>1998</v>
      </c>
      <c r="U8" s="118">
        <v>1999</v>
      </c>
      <c r="V8" s="118">
        <v>2000</v>
      </c>
      <c r="W8" s="118">
        <v>2001</v>
      </c>
      <c r="X8" s="118">
        <v>2002</v>
      </c>
      <c r="Y8" s="118">
        <v>2003</v>
      </c>
      <c r="Z8" s="118">
        <v>2004</v>
      </c>
      <c r="AA8" s="118">
        <v>2005</v>
      </c>
      <c r="AB8" s="118">
        <v>2006</v>
      </c>
      <c r="AC8" s="118">
        <v>2007</v>
      </c>
      <c r="AD8" s="118">
        <v>2008</v>
      </c>
      <c r="AE8" s="118">
        <v>2009</v>
      </c>
      <c r="AF8" s="118">
        <v>2010</v>
      </c>
      <c r="AG8" s="118">
        <v>2011</v>
      </c>
      <c r="AH8" s="118">
        <v>2012</v>
      </c>
      <c r="AI8" s="118">
        <v>2013</v>
      </c>
      <c r="AJ8" s="118">
        <v>2014</v>
      </c>
    </row>
    <row r="9" spans="1:38">
      <c r="A9" s="3" t="s">
        <v>850</v>
      </c>
      <c r="B9" s="3" t="s">
        <v>851</v>
      </c>
      <c r="C9" s="3">
        <v>1</v>
      </c>
      <c r="D9" s="3" t="s">
        <v>759</v>
      </c>
      <c r="E9" s="117" t="s">
        <v>850</v>
      </c>
      <c r="F9" s="119">
        <v>92</v>
      </c>
      <c r="G9" s="119">
        <v>92</v>
      </c>
      <c r="H9" s="120">
        <v>92</v>
      </c>
      <c r="I9" s="120">
        <v>92</v>
      </c>
      <c r="J9" s="119">
        <v>92</v>
      </c>
      <c r="K9" s="119">
        <v>92</v>
      </c>
      <c r="L9" s="120">
        <v>92</v>
      </c>
      <c r="M9" s="120">
        <v>92</v>
      </c>
      <c r="N9" s="119">
        <v>92</v>
      </c>
      <c r="O9" s="119">
        <v>92</v>
      </c>
      <c r="P9" s="120">
        <v>92</v>
      </c>
      <c r="Q9" s="120">
        <v>92</v>
      </c>
      <c r="R9" s="119">
        <v>92</v>
      </c>
      <c r="S9" s="119">
        <v>92</v>
      </c>
      <c r="T9" s="120">
        <v>92</v>
      </c>
      <c r="U9" s="120">
        <v>92</v>
      </c>
      <c r="V9" s="119">
        <v>92</v>
      </c>
      <c r="W9" s="119">
        <v>92</v>
      </c>
      <c r="X9" s="120">
        <v>92</v>
      </c>
      <c r="Y9" s="120">
        <v>92</v>
      </c>
      <c r="Z9" s="119">
        <v>92</v>
      </c>
      <c r="AA9" s="119">
        <v>91</v>
      </c>
      <c r="AB9" s="120">
        <v>92</v>
      </c>
      <c r="AC9" s="120">
        <v>92</v>
      </c>
      <c r="AD9" s="119">
        <v>92</v>
      </c>
      <c r="AE9" s="119">
        <v>92</v>
      </c>
      <c r="AF9" s="120">
        <v>92</v>
      </c>
      <c r="AG9" s="120">
        <v>92</v>
      </c>
      <c r="AH9" s="119">
        <v>92</v>
      </c>
      <c r="AI9" s="119">
        <v>92</v>
      </c>
      <c r="AJ9" s="120">
        <v>92</v>
      </c>
      <c r="AK9" s="120" t="s">
        <v>2091</v>
      </c>
      <c r="AL9" s="120"/>
    </row>
    <row r="10" spans="1:38">
      <c r="A10" s="3" t="s">
        <v>667</v>
      </c>
      <c r="B10" s="3" t="s">
        <v>668</v>
      </c>
      <c r="C10" s="3">
        <v>2</v>
      </c>
      <c r="D10" s="3" t="s">
        <v>759</v>
      </c>
      <c r="E10" s="117" t="s">
        <v>667</v>
      </c>
      <c r="F10" s="119">
        <v>60</v>
      </c>
      <c r="G10" s="119">
        <v>60</v>
      </c>
      <c r="H10" s="120">
        <v>60</v>
      </c>
      <c r="I10" s="120">
        <v>60</v>
      </c>
      <c r="J10" s="119">
        <v>60</v>
      </c>
      <c r="K10" s="119">
        <v>60</v>
      </c>
      <c r="L10" s="120">
        <v>60</v>
      </c>
      <c r="M10" s="120">
        <v>60</v>
      </c>
      <c r="N10" s="119">
        <v>60</v>
      </c>
      <c r="O10" s="119">
        <v>60</v>
      </c>
      <c r="P10" s="120">
        <v>60</v>
      </c>
      <c r="Q10" s="120">
        <v>60</v>
      </c>
      <c r="R10" s="120">
        <v>60</v>
      </c>
      <c r="S10" s="120">
        <v>60</v>
      </c>
      <c r="T10" s="119">
        <v>60</v>
      </c>
      <c r="U10" s="119">
        <v>60</v>
      </c>
      <c r="V10" s="119">
        <v>60</v>
      </c>
      <c r="W10" s="120">
        <v>60</v>
      </c>
      <c r="X10" s="120">
        <v>60</v>
      </c>
      <c r="Y10" s="120">
        <v>60</v>
      </c>
      <c r="Z10" s="119">
        <v>60</v>
      </c>
      <c r="AA10" s="119">
        <v>60</v>
      </c>
      <c r="AB10" s="120">
        <v>60</v>
      </c>
      <c r="AC10" s="120">
        <v>60</v>
      </c>
      <c r="AD10" s="119">
        <v>60</v>
      </c>
      <c r="AE10" s="119">
        <v>60</v>
      </c>
      <c r="AF10" s="121">
        <v>60</v>
      </c>
      <c r="AG10" s="121">
        <v>60</v>
      </c>
      <c r="AH10" s="122">
        <v>60</v>
      </c>
      <c r="AI10" s="122">
        <v>60</v>
      </c>
      <c r="AJ10" s="120">
        <v>60</v>
      </c>
      <c r="AK10" s="120" t="s">
        <v>2092</v>
      </c>
      <c r="AL10" s="120"/>
    </row>
    <row r="11" spans="1:38">
      <c r="A11" s="3" t="s">
        <v>669</v>
      </c>
      <c r="B11" s="3" t="s">
        <v>663</v>
      </c>
      <c r="C11" s="3">
        <v>3</v>
      </c>
      <c r="D11" s="3" t="s">
        <v>664</v>
      </c>
      <c r="E11" s="117" t="s">
        <v>669</v>
      </c>
      <c r="F11" s="119">
        <v>33</v>
      </c>
      <c r="G11" s="119">
        <v>33</v>
      </c>
      <c r="H11" s="123">
        <v>33</v>
      </c>
      <c r="I11" s="123">
        <v>33</v>
      </c>
      <c r="J11" s="119">
        <v>33</v>
      </c>
      <c r="K11" s="119">
        <v>33</v>
      </c>
      <c r="L11" s="123">
        <v>33</v>
      </c>
      <c r="M11" s="120">
        <v>33</v>
      </c>
      <c r="N11" s="119">
        <v>41</v>
      </c>
      <c r="O11" s="119">
        <v>41</v>
      </c>
      <c r="P11" s="123">
        <v>41</v>
      </c>
      <c r="Q11" s="123">
        <v>41</v>
      </c>
      <c r="R11" s="119">
        <v>41</v>
      </c>
      <c r="S11" s="119">
        <v>41</v>
      </c>
      <c r="T11" s="120">
        <v>41</v>
      </c>
      <c r="U11" s="120">
        <v>41</v>
      </c>
      <c r="V11" s="119">
        <v>41</v>
      </c>
      <c r="W11" s="119">
        <v>41</v>
      </c>
      <c r="X11" s="120">
        <v>41</v>
      </c>
      <c r="Y11" s="120">
        <v>41</v>
      </c>
      <c r="Z11" s="119">
        <v>41</v>
      </c>
      <c r="AA11" s="119">
        <v>41</v>
      </c>
      <c r="AB11" s="120">
        <v>41</v>
      </c>
      <c r="AC11" s="120">
        <v>41</v>
      </c>
      <c r="AD11" s="119">
        <v>41</v>
      </c>
      <c r="AE11" s="119">
        <v>41</v>
      </c>
      <c r="AF11" s="120">
        <v>41</v>
      </c>
      <c r="AG11" s="120">
        <v>41</v>
      </c>
      <c r="AH11" s="119">
        <v>41</v>
      </c>
      <c r="AI11" s="119">
        <v>41</v>
      </c>
      <c r="AJ11" s="120">
        <v>41</v>
      </c>
      <c r="AK11" s="120" t="s">
        <v>2093</v>
      </c>
      <c r="AL11" s="120"/>
    </row>
    <row r="12" spans="1:38">
      <c r="A12" s="3" t="s">
        <v>665</v>
      </c>
      <c r="B12" s="3" t="s">
        <v>640</v>
      </c>
      <c r="C12" s="3">
        <v>4</v>
      </c>
      <c r="D12" s="3" t="s">
        <v>641</v>
      </c>
      <c r="E12" s="117" t="s">
        <v>665</v>
      </c>
      <c r="F12" s="119">
        <v>30</v>
      </c>
      <c r="G12" s="119">
        <v>30</v>
      </c>
      <c r="H12" s="120">
        <v>32</v>
      </c>
      <c r="I12" s="120">
        <v>32</v>
      </c>
      <c r="J12" s="119">
        <v>32</v>
      </c>
      <c r="K12" s="119">
        <v>32</v>
      </c>
      <c r="L12" s="120">
        <v>32</v>
      </c>
      <c r="M12" s="120">
        <v>32</v>
      </c>
      <c r="N12" s="119">
        <v>32</v>
      </c>
      <c r="O12" s="119">
        <v>32</v>
      </c>
      <c r="P12" s="120">
        <v>32</v>
      </c>
      <c r="Q12" s="120">
        <v>32</v>
      </c>
      <c r="R12" s="119">
        <v>32</v>
      </c>
      <c r="S12" s="119">
        <v>32</v>
      </c>
      <c r="T12" s="120">
        <v>32</v>
      </c>
      <c r="U12" s="120">
        <v>32</v>
      </c>
      <c r="V12" s="119">
        <v>32</v>
      </c>
      <c r="W12" s="119">
        <v>32</v>
      </c>
      <c r="X12" s="120">
        <v>32</v>
      </c>
      <c r="Y12" s="120">
        <v>32</v>
      </c>
      <c r="Z12" s="119">
        <v>32</v>
      </c>
      <c r="AA12" s="119">
        <v>32</v>
      </c>
      <c r="AB12" s="120">
        <v>32</v>
      </c>
      <c r="AC12" s="120">
        <v>32</v>
      </c>
      <c r="AD12" s="119">
        <v>32</v>
      </c>
      <c r="AE12" s="119">
        <v>32</v>
      </c>
      <c r="AF12" s="121">
        <v>32</v>
      </c>
      <c r="AG12" s="121">
        <v>32</v>
      </c>
      <c r="AH12" s="122">
        <v>32</v>
      </c>
      <c r="AI12" s="122">
        <v>32</v>
      </c>
      <c r="AJ12" s="120">
        <v>32</v>
      </c>
      <c r="AK12" s="120" t="s">
        <v>2094</v>
      </c>
      <c r="AL12" s="120"/>
    </row>
    <row r="13" spans="1:38">
      <c r="A13" s="3" t="s">
        <v>539</v>
      </c>
      <c r="B13" s="3" t="s">
        <v>540</v>
      </c>
      <c r="C13" s="3">
        <v>5</v>
      </c>
      <c r="D13" s="3" t="s">
        <v>541</v>
      </c>
      <c r="E13" s="117" t="s">
        <v>539</v>
      </c>
      <c r="F13" s="119">
        <v>27</v>
      </c>
      <c r="G13" s="119">
        <v>27</v>
      </c>
      <c r="H13" s="119">
        <v>27</v>
      </c>
      <c r="I13" s="119">
        <v>27</v>
      </c>
      <c r="J13" s="120">
        <v>27</v>
      </c>
      <c r="K13" s="120">
        <v>27</v>
      </c>
      <c r="L13" s="120">
        <v>27</v>
      </c>
      <c r="M13" s="120">
        <v>27</v>
      </c>
      <c r="N13" s="119">
        <v>27</v>
      </c>
      <c r="O13" s="119">
        <v>27</v>
      </c>
      <c r="P13" s="119">
        <v>27</v>
      </c>
      <c r="Q13" s="119">
        <v>27</v>
      </c>
      <c r="R13" s="120">
        <v>27</v>
      </c>
      <c r="S13" s="120">
        <v>27</v>
      </c>
      <c r="T13" s="120">
        <v>27</v>
      </c>
      <c r="U13" s="120">
        <v>27</v>
      </c>
      <c r="V13" s="119">
        <v>27</v>
      </c>
      <c r="W13" s="119">
        <v>27</v>
      </c>
      <c r="X13" s="119">
        <v>27</v>
      </c>
      <c r="Y13" s="119">
        <v>27</v>
      </c>
      <c r="Z13" s="120">
        <v>27</v>
      </c>
      <c r="AA13" s="120">
        <v>27</v>
      </c>
      <c r="AB13" s="120">
        <v>27</v>
      </c>
      <c r="AC13" s="120">
        <v>27</v>
      </c>
      <c r="AD13" s="119">
        <v>27</v>
      </c>
      <c r="AE13" s="119">
        <v>27</v>
      </c>
      <c r="AF13" s="122">
        <v>27</v>
      </c>
      <c r="AG13" s="122">
        <v>27</v>
      </c>
      <c r="AH13" s="121">
        <v>27</v>
      </c>
      <c r="AI13" s="121">
        <v>27</v>
      </c>
      <c r="AJ13" s="119">
        <v>27</v>
      </c>
      <c r="AK13" s="120" t="s">
        <v>2095</v>
      </c>
      <c r="AL13" s="120"/>
    </row>
    <row r="14" spans="1:38">
      <c r="A14" s="3" t="s">
        <v>542</v>
      </c>
      <c r="B14" s="3" t="s">
        <v>543</v>
      </c>
      <c r="C14" s="3">
        <v>6</v>
      </c>
      <c r="D14" s="3" t="s">
        <v>759</v>
      </c>
      <c r="E14" s="117" t="s">
        <v>542</v>
      </c>
      <c r="F14" s="124">
        <v>36</v>
      </c>
      <c r="G14" s="124">
        <v>36</v>
      </c>
      <c r="H14" s="124">
        <v>36</v>
      </c>
      <c r="I14" s="124">
        <v>36</v>
      </c>
      <c r="J14" s="125">
        <v>66</v>
      </c>
      <c r="K14" s="125">
        <v>66</v>
      </c>
      <c r="L14" s="125">
        <v>66</v>
      </c>
      <c r="M14" s="125">
        <v>66</v>
      </c>
      <c r="N14" s="124">
        <v>66</v>
      </c>
      <c r="O14" s="124">
        <v>66</v>
      </c>
      <c r="P14" s="124">
        <v>66</v>
      </c>
      <c r="Q14" s="124">
        <v>66</v>
      </c>
      <c r="R14" s="125">
        <v>66</v>
      </c>
      <c r="S14" s="125">
        <v>66</v>
      </c>
      <c r="T14" s="125">
        <v>66</v>
      </c>
      <c r="U14" s="125">
        <v>66</v>
      </c>
      <c r="V14" s="124">
        <v>66</v>
      </c>
      <c r="W14" s="124">
        <v>66</v>
      </c>
      <c r="X14" s="126">
        <v>70</v>
      </c>
      <c r="Y14" s="126">
        <v>70</v>
      </c>
      <c r="Z14" s="124">
        <v>70</v>
      </c>
      <c r="AA14" s="124">
        <v>70</v>
      </c>
      <c r="AB14" s="127">
        <v>70</v>
      </c>
      <c r="AC14" s="127">
        <v>70</v>
      </c>
      <c r="AD14" s="125">
        <v>70</v>
      </c>
      <c r="AE14" s="125">
        <v>70</v>
      </c>
      <c r="AF14" s="125">
        <v>70</v>
      </c>
      <c r="AG14" s="125">
        <v>70</v>
      </c>
      <c r="AH14" s="124">
        <v>70</v>
      </c>
      <c r="AI14" s="124">
        <v>70</v>
      </c>
      <c r="AJ14" s="127">
        <v>70</v>
      </c>
      <c r="AK14" s="120" t="s">
        <v>2096</v>
      </c>
      <c r="AL14" s="120"/>
    </row>
    <row r="15" spans="1:38">
      <c r="A15" s="3" t="s">
        <v>628</v>
      </c>
      <c r="B15" s="3" t="s">
        <v>629</v>
      </c>
      <c r="C15" s="3">
        <v>7</v>
      </c>
      <c r="D15" s="3" t="s">
        <v>641</v>
      </c>
      <c r="E15" s="117" t="s">
        <v>628</v>
      </c>
      <c r="F15" s="119">
        <v>26</v>
      </c>
      <c r="G15" s="119">
        <v>26</v>
      </c>
      <c r="H15" s="120">
        <v>26</v>
      </c>
      <c r="I15" s="120">
        <v>26</v>
      </c>
      <c r="J15" s="119">
        <v>26</v>
      </c>
      <c r="K15" s="119">
        <v>26</v>
      </c>
      <c r="L15" s="120">
        <v>26</v>
      </c>
      <c r="M15" s="120">
        <v>26</v>
      </c>
      <c r="N15" s="119">
        <v>26</v>
      </c>
      <c r="O15" s="119">
        <v>26</v>
      </c>
      <c r="P15" s="120">
        <v>26</v>
      </c>
      <c r="Q15" s="120">
        <v>26</v>
      </c>
      <c r="R15" s="119">
        <v>26</v>
      </c>
      <c r="S15" s="119">
        <v>26</v>
      </c>
      <c r="T15" s="120">
        <v>26</v>
      </c>
      <c r="U15" s="120">
        <v>26</v>
      </c>
      <c r="V15" s="119">
        <v>26</v>
      </c>
      <c r="W15" s="119">
        <v>26</v>
      </c>
      <c r="X15" s="120">
        <v>26</v>
      </c>
      <c r="Y15" s="120">
        <v>26</v>
      </c>
      <c r="Z15" s="119">
        <v>26</v>
      </c>
      <c r="AA15" s="119">
        <v>26</v>
      </c>
      <c r="AB15" s="120">
        <v>26</v>
      </c>
      <c r="AC15" s="120">
        <v>26</v>
      </c>
      <c r="AD15" s="119">
        <v>26</v>
      </c>
      <c r="AE15" s="119">
        <v>26</v>
      </c>
      <c r="AF15" s="121">
        <v>26</v>
      </c>
      <c r="AG15" s="121">
        <v>26</v>
      </c>
      <c r="AH15" s="122">
        <v>26</v>
      </c>
      <c r="AI15" s="122">
        <v>26</v>
      </c>
      <c r="AJ15" s="120">
        <v>30</v>
      </c>
      <c r="AK15" s="120" t="s">
        <v>2097</v>
      </c>
      <c r="AL15" s="120"/>
    </row>
    <row r="16" spans="1:38">
      <c r="A16" s="3" t="s">
        <v>630</v>
      </c>
      <c r="B16" s="3" t="s">
        <v>631</v>
      </c>
      <c r="C16" s="3">
        <v>8</v>
      </c>
      <c r="D16" s="3" t="s">
        <v>759</v>
      </c>
      <c r="E16" s="117" t="s">
        <v>630</v>
      </c>
      <c r="F16" s="119">
        <v>28</v>
      </c>
      <c r="G16" s="119">
        <v>28</v>
      </c>
      <c r="H16" s="119">
        <v>28</v>
      </c>
      <c r="I16" s="119">
        <v>28</v>
      </c>
      <c r="J16" s="120">
        <v>28</v>
      </c>
      <c r="K16" s="120">
        <v>28</v>
      </c>
      <c r="L16" s="120">
        <v>28</v>
      </c>
      <c r="M16" s="120">
        <v>28</v>
      </c>
      <c r="N16" s="119">
        <v>28</v>
      </c>
      <c r="O16" s="119">
        <v>28</v>
      </c>
      <c r="P16" s="119">
        <v>28</v>
      </c>
      <c r="Q16" s="119">
        <v>28</v>
      </c>
      <c r="R16" s="120">
        <v>28</v>
      </c>
      <c r="S16" s="120">
        <v>28</v>
      </c>
      <c r="T16" s="120">
        <v>28</v>
      </c>
      <c r="U16" s="120">
        <v>28</v>
      </c>
      <c r="V16" s="119">
        <v>28</v>
      </c>
      <c r="W16" s="119">
        <v>28</v>
      </c>
      <c r="X16" s="119">
        <v>28</v>
      </c>
      <c r="Y16" s="119">
        <v>28</v>
      </c>
      <c r="Z16" s="120">
        <v>28</v>
      </c>
      <c r="AA16" s="120">
        <v>28</v>
      </c>
      <c r="AB16" s="120">
        <v>28</v>
      </c>
      <c r="AC16" s="120">
        <v>28</v>
      </c>
      <c r="AD16" s="119">
        <v>28</v>
      </c>
      <c r="AE16" s="119">
        <v>28</v>
      </c>
      <c r="AF16" s="122">
        <v>28</v>
      </c>
      <c r="AG16" s="122">
        <v>28</v>
      </c>
      <c r="AH16" s="120">
        <v>34</v>
      </c>
      <c r="AI16" s="120">
        <v>34</v>
      </c>
      <c r="AJ16" s="123">
        <v>34</v>
      </c>
      <c r="AK16" s="120" t="s">
        <v>2098</v>
      </c>
      <c r="AL16" s="120"/>
    </row>
    <row r="17" spans="1:38">
      <c r="A17" s="3" t="s">
        <v>632</v>
      </c>
      <c r="B17" s="3" t="s">
        <v>633</v>
      </c>
      <c r="C17" s="3">
        <v>9</v>
      </c>
      <c r="D17" s="3" t="s">
        <v>641</v>
      </c>
      <c r="E17" s="117" t="s">
        <v>632</v>
      </c>
      <c r="F17" s="119">
        <v>30</v>
      </c>
      <c r="G17" s="119">
        <v>30</v>
      </c>
      <c r="H17" s="120">
        <v>30</v>
      </c>
      <c r="I17" s="120">
        <v>30</v>
      </c>
      <c r="J17" s="119">
        <v>30</v>
      </c>
      <c r="K17" s="119">
        <v>30</v>
      </c>
      <c r="L17" s="120">
        <v>30</v>
      </c>
      <c r="M17" s="120">
        <v>30</v>
      </c>
      <c r="N17" s="119">
        <v>30</v>
      </c>
      <c r="O17" s="119">
        <v>30</v>
      </c>
      <c r="P17" s="120">
        <v>30</v>
      </c>
      <c r="Q17" s="120">
        <v>30</v>
      </c>
      <c r="R17" s="119">
        <v>30</v>
      </c>
      <c r="S17" s="119">
        <v>30</v>
      </c>
      <c r="T17" s="120">
        <v>30</v>
      </c>
      <c r="U17" s="120">
        <v>30</v>
      </c>
      <c r="V17" s="119">
        <v>30</v>
      </c>
      <c r="W17" s="119">
        <v>30</v>
      </c>
      <c r="X17" s="120">
        <v>30</v>
      </c>
      <c r="Y17" s="120">
        <v>30</v>
      </c>
      <c r="Z17" s="119">
        <v>30</v>
      </c>
      <c r="AA17" s="119">
        <v>30</v>
      </c>
      <c r="AB17" s="120">
        <v>30</v>
      </c>
      <c r="AC17" s="120">
        <v>30</v>
      </c>
      <c r="AD17" s="119">
        <v>30</v>
      </c>
      <c r="AE17" s="119">
        <v>30</v>
      </c>
      <c r="AF17" s="121">
        <v>30</v>
      </c>
      <c r="AG17" s="121">
        <v>30</v>
      </c>
      <c r="AH17" s="128">
        <v>30</v>
      </c>
      <c r="AI17" s="128">
        <v>30</v>
      </c>
      <c r="AJ17" s="120">
        <v>30</v>
      </c>
      <c r="AK17" s="120" t="s">
        <v>2096</v>
      </c>
      <c r="AL17" s="120"/>
    </row>
    <row r="18" spans="1:38">
      <c r="A18" s="3" t="s">
        <v>634</v>
      </c>
      <c r="B18" s="3" t="s">
        <v>715</v>
      </c>
      <c r="C18" s="3">
        <v>10</v>
      </c>
      <c r="D18" s="3" t="s">
        <v>664</v>
      </c>
      <c r="E18" s="117" t="s">
        <v>634</v>
      </c>
      <c r="F18" s="119">
        <v>30</v>
      </c>
      <c r="G18" s="119">
        <v>30</v>
      </c>
      <c r="H18" s="120">
        <v>30</v>
      </c>
      <c r="I18" s="120">
        <v>30</v>
      </c>
      <c r="J18" s="119">
        <v>48</v>
      </c>
      <c r="K18" s="119">
        <v>48</v>
      </c>
      <c r="L18" s="120">
        <v>48</v>
      </c>
      <c r="M18" s="120">
        <v>48</v>
      </c>
      <c r="N18" s="119">
        <v>48</v>
      </c>
      <c r="O18" s="119">
        <v>48</v>
      </c>
      <c r="P18" s="120">
        <v>48</v>
      </c>
      <c r="Q18" s="120">
        <v>48</v>
      </c>
      <c r="R18" s="119">
        <v>48</v>
      </c>
      <c r="S18" s="119">
        <v>48</v>
      </c>
      <c r="T18" s="120">
        <v>48</v>
      </c>
      <c r="U18" s="120">
        <v>48</v>
      </c>
      <c r="V18" s="119">
        <v>48</v>
      </c>
      <c r="W18" s="119">
        <v>48</v>
      </c>
      <c r="X18" s="120">
        <v>48</v>
      </c>
      <c r="Y18" s="120">
        <v>48</v>
      </c>
      <c r="Z18" s="119">
        <v>48</v>
      </c>
      <c r="AA18" s="119">
        <v>48</v>
      </c>
      <c r="AB18" s="120">
        <v>48</v>
      </c>
      <c r="AC18" s="120">
        <v>48</v>
      </c>
      <c r="AD18" s="119">
        <v>48</v>
      </c>
      <c r="AE18" s="119">
        <v>48</v>
      </c>
      <c r="AF18" s="121">
        <v>48</v>
      </c>
      <c r="AG18" s="121">
        <v>48</v>
      </c>
      <c r="AH18" s="128">
        <v>48</v>
      </c>
      <c r="AI18" s="128">
        <v>48</v>
      </c>
      <c r="AJ18" s="120">
        <v>48</v>
      </c>
      <c r="AK18" s="120" t="s">
        <v>2099</v>
      </c>
      <c r="AL18" s="120"/>
    </row>
    <row r="19" spans="1:38">
      <c r="A19" s="3" t="s">
        <v>716</v>
      </c>
      <c r="B19" s="3" t="s">
        <v>717</v>
      </c>
      <c r="C19" s="3">
        <v>11</v>
      </c>
      <c r="D19" s="3" t="s">
        <v>541</v>
      </c>
      <c r="E19" s="117" t="s">
        <v>716</v>
      </c>
      <c r="F19" s="119">
        <v>21</v>
      </c>
      <c r="G19" s="119">
        <v>21</v>
      </c>
      <c r="H19" s="119">
        <v>21</v>
      </c>
      <c r="I19" s="119">
        <v>21</v>
      </c>
      <c r="J19" s="120">
        <v>21</v>
      </c>
      <c r="K19" s="120">
        <v>21</v>
      </c>
      <c r="L19" s="120">
        <v>21</v>
      </c>
      <c r="M19" s="120">
        <v>21</v>
      </c>
      <c r="N19" s="119">
        <v>21</v>
      </c>
      <c r="O19" s="119">
        <v>21</v>
      </c>
      <c r="P19" s="119">
        <v>21</v>
      </c>
      <c r="Q19" s="119">
        <v>21</v>
      </c>
      <c r="R19" s="120">
        <v>26</v>
      </c>
      <c r="S19" s="120">
        <v>26</v>
      </c>
      <c r="T19" s="120">
        <v>26</v>
      </c>
      <c r="U19" s="120">
        <v>26</v>
      </c>
      <c r="V19" s="119">
        <v>26</v>
      </c>
      <c r="W19" s="119">
        <v>26</v>
      </c>
      <c r="X19" s="119">
        <v>26</v>
      </c>
      <c r="Y19" s="119">
        <v>26</v>
      </c>
      <c r="Z19" s="120">
        <v>26</v>
      </c>
      <c r="AA19" s="120">
        <v>26</v>
      </c>
      <c r="AB19" s="120">
        <v>26</v>
      </c>
      <c r="AC19" s="120">
        <v>26</v>
      </c>
      <c r="AD19" s="119">
        <v>26</v>
      </c>
      <c r="AE19" s="119">
        <v>26</v>
      </c>
      <c r="AF19" s="119">
        <v>26</v>
      </c>
      <c r="AG19" s="119">
        <v>26</v>
      </c>
      <c r="AH19" s="121">
        <v>30</v>
      </c>
      <c r="AI19" s="121">
        <v>30</v>
      </c>
      <c r="AJ19" s="120">
        <v>30</v>
      </c>
      <c r="AK19" s="120" t="s">
        <v>2100</v>
      </c>
      <c r="AL19" s="120"/>
    </row>
    <row r="20" spans="1:38">
      <c r="A20" s="3" t="s">
        <v>718</v>
      </c>
      <c r="B20" s="3" t="s">
        <v>719</v>
      </c>
      <c r="C20" s="3">
        <v>12</v>
      </c>
      <c r="D20" s="3" t="s">
        <v>664</v>
      </c>
      <c r="E20" s="117" t="s">
        <v>718</v>
      </c>
      <c r="F20" s="119">
        <v>25</v>
      </c>
      <c r="G20" s="119">
        <v>25</v>
      </c>
      <c r="H20" s="120">
        <v>25</v>
      </c>
      <c r="I20" s="120">
        <v>25</v>
      </c>
      <c r="J20" s="119">
        <v>30</v>
      </c>
      <c r="K20" s="119">
        <v>30</v>
      </c>
      <c r="L20" s="120">
        <v>30</v>
      </c>
      <c r="M20" s="120">
        <v>30</v>
      </c>
      <c r="N20" s="119">
        <v>30</v>
      </c>
      <c r="O20" s="119">
        <v>30</v>
      </c>
      <c r="P20" s="120">
        <v>30</v>
      </c>
      <c r="Q20" s="120">
        <v>30</v>
      </c>
      <c r="R20" s="119">
        <v>30</v>
      </c>
      <c r="S20" s="119">
        <v>30</v>
      </c>
      <c r="T20" s="120">
        <v>30</v>
      </c>
      <c r="U20" s="120">
        <v>30</v>
      </c>
      <c r="V20" s="119">
        <v>30</v>
      </c>
      <c r="W20" s="119">
        <v>30</v>
      </c>
      <c r="X20" s="120">
        <v>30</v>
      </c>
      <c r="Y20" s="120">
        <v>23</v>
      </c>
      <c r="Z20" s="119">
        <v>23</v>
      </c>
      <c r="AA20" s="119">
        <v>23</v>
      </c>
      <c r="AB20" s="120">
        <v>23</v>
      </c>
      <c r="AC20" s="120">
        <v>23</v>
      </c>
      <c r="AD20" s="119">
        <v>23</v>
      </c>
      <c r="AE20" s="119">
        <v>23</v>
      </c>
      <c r="AF20" s="121">
        <v>36</v>
      </c>
      <c r="AG20" s="121">
        <v>36</v>
      </c>
      <c r="AH20" s="122">
        <v>36</v>
      </c>
      <c r="AI20" s="122">
        <v>36</v>
      </c>
      <c r="AJ20" s="120">
        <v>36</v>
      </c>
      <c r="AK20" s="120" t="s">
        <v>2101</v>
      </c>
      <c r="AL20" s="120"/>
    </row>
    <row r="21" spans="1:38">
      <c r="A21" s="3" t="s">
        <v>711</v>
      </c>
      <c r="B21" s="3" t="s">
        <v>712</v>
      </c>
      <c r="C21" s="3">
        <v>13</v>
      </c>
      <c r="D21" s="3" t="s">
        <v>713</v>
      </c>
      <c r="E21" s="117" t="s">
        <v>711</v>
      </c>
      <c r="F21" s="119">
        <v>48</v>
      </c>
      <c r="G21" s="119">
        <v>48</v>
      </c>
      <c r="H21" s="120">
        <v>48</v>
      </c>
      <c r="I21" s="120">
        <v>48</v>
      </c>
      <c r="J21" s="119">
        <v>48</v>
      </c>
      <c r="K21" s="119">
        <v>48</v>
      </c>
      <c r="L21" s="120">
        <v>48</v>
      </c>
      <c r="M21" s="120">
        <v>48</v>
      </c>
      <c r="N21" s="119">
        <v>48</v>
      </c>
      <c r="O21" s="119">
        <v>48</v>
      </c>
      <c r="P21" s="120">
        <v>48</v>
      </c>
      <c r="Q21" s="120">
        <v>48</v>
      </c>
      <c r="R21" s="119">
        <v>48</v>
      </c>
      <c r="S21" s="119">
        <v>48</v>
      </c>
      <c r="T21" s="120">
        <v>48</v>
      </c>
      <c r="U21" s="120">
        <v>48</v>
      </c>
      <c r="V21" s="119">
        <v>48</v>
      </c>
      <c r="W21" s="119">
        <v>48</v>
      </c>
      <c r="X21" s="120">
        <v>48</v>
      </c>
      <c r="Y21" s="120">
        <v>48</v>
      </c>
      <c r="Z21" s="119">
        <v>48</v>
      </c>
      <c r="AA21" s="119">
        <v>48</v>
      </c>
      <c r="AB21" s="120">
        <v>48</v>
      </c>
      <c r="AC21" s="120">
        <v>48</v>
      </c>
      <c r="AD21" s="119">
        <v>48</v>
      </c>
      <c r="AE21" s="119">
        <v>48</v>
      </c>
      <c r="AF21" s="121">
        <v>48</v>
      </c>
      <c r="AG21" s="121">
        <v>48</v>
      </c>
      <c r="AH21" s="122">
        <v>48</v>
      </c>
      <c r="AI21" s="122">
        <v>48</v>
      </c>
      <c r="AJ21" s="120">
        <v>48</v>
      </c>
      <c r="AK21" s="120" t="s">
        <v>2102</v>
      </c>
      <c r="AL21" s="120"/>
    </row>
    <row r="22" spans="1:38">
      <c r="A22" s="3" t="s">
        <v>714</v>
      </c>
      <c r="B22" s="3" t="s">
        <v>530</v>
      </c>
      <c r="C22" s="3">
        <v>14</v>
      </c>
      <c r="D22" s="3" t="s">
        <v>641</v>
      </c>
      <c r="E22" s="117" t="s">
        <v>714</v>
      </c>
      <c r="F22" s="119">
        <v>40</v>
      </c>
      <c r="G22" s="119">
        <v>40</v>
      </c>
      <c r="H22" s="120">
        <v>40</v>
      </c>
      <c r="I22" s="120">
        <v>40</v>
      </c>
      <c r="J22" s="119">
        <v>40</v>
      </c>
      <c r="K22" s="119">
        <v>40</v>
      </c>
      <c r="L22" s="120">
        <v>40</v>
      </c>
      <c r="M22" s="120">
        <v>40</v>
      </c>
      <c r="N22" s="119">
        <v>40</v>
      </c>
      <c r="O22" s="119">
        <v>40</v>
      </c>
      <c r="P22" s="120">
        <v>40</v>
      </c>
      <c r="Q22" s="120">
        <v>40</v>
      </c>
      <c r="R22" s="119">
        <v>40</v>
      </c>
      <c r="S22" s="119">
        <v>40</v>
      </c>
      <c r="T22" s="120">
        <v>40</v>
      </c>
      <c r="U22" s="120">
        <v>40</v>
      </c>
      <c r="V22" s="119">
        <v>40</v>
      </c>
      <c r="W22" s="119">
        <v>40</v>
      </c>
      <c r="X22" s="120">
        <v>40</v>
      </c>
      <c r="Y22" s="120">
        <v>40</v>
      </c>
      <c r="Z22" s="119">
        <v>35</v>
      </c>
      <c r="AA22" s="119">
        <v>35</v>
      </c>
      <c r="AB22" s="120">
        <v>35</v>
      </c>
      <c r="AC22" s="120">
        <v>35</v>
      </c>
      <c r="AD22" s="119">
        <v>40</v>
      </c>
      <c r="AE22" s="119">
        <v>40</v>
      </c>
      <c r="AF22" s="121">
        <v>40</v>
      </c>
      <c r="AG22" s="121">
        <v>40</v>
      </c>
      <c r="AH22" s="122">
        <v>40</v>
      </c>
      <c r="AI22" s="122">
        <v>40</v>
      </c>
      <c r="AJ22" s="120">
        <v>40</v>
      </c>
      <c r="AK22" s="120" t="s">
        <v>2103</v>
      </c>
      <c r="AL22" s="120"/>
    </row>
    <row r="23" spans="1:38">
      <c r="A23" s="3" t="s">
        <v>620</v>
      </c>
      <c r="B23" s="3" t="s">
        <v>621</v>
      </c>
      <c r="C23" s="3">
        <v>15</v>
      </c>
      <c r="D23" s="3" t="s">
        <v>541</v>
      </c>
      <c r="E23" s="117" t="s">
        <v>620</v>
      </c>
      <c r="F23" s="119">
        <v>25</v>
      </c>
      <c r="G23" s="119">
        <v>25</v>
      </c>
      <c r="H23" s="119">
        <v>25</v>
      </c>
      <c r="I23" s="119">
        <v>25</v>
      </c>
      <c r="J23" s="120">
        <v>25</v>
      </c>
      <c r="K23" s="120">
        <v>25</v>
      </c>
      <c r="L23" s="120">
        <v>25</v>
      </c>
      <c r="M23" s="120">
        <v>25</v>
      </c>
      <c r="N23" s="119">
        <v>25</v>
      </c>
      <c r="O23" s="119">
        <v>25</v>
      </c>
      <c r="P23" s="119">
        <v>25</v>
      </c>
      <c r="Q23" s="119">
        <v>25</v>
      </c>
      <c r="R23" s="120">
        <v>35</v>
      </c>
      <c r="S23" s="120">
        <v>35</v>
      </c>
      <c r="T23" s="120">
        <v>35</v>
      </c>
      <c r="U23" s="120">
        <v>35</v>
      </c>
      <c r="V23" s="119">
        <v>35</v>
      </c>
      <c r="W23" s="119">
        <v>35</v>
      </c>
      <c r="X23" s="119">
        <v>35</v>
      </c>
      <c r="Y23" s="119">
        <v>35</v>
      </c>
      <c r="Z23" s="120">
        <v>35</v>
      </c>
      <c r="AA23" s="120">
        <v>35</v>
      </c>
      <c r="AB23" s="120">
        <v>35</v>
      </c>
      <c r="AC23" s="120">
        <v>35</v>
      </c>
      <c r="AD23" s="119">
        <v>35</v>
      </c>
      <c r="AE23" s="119">
        <v>35</v>
      </c>
      <c r="AF23" s="122">
        <v>35</v>
      </c>
      <c r="AG23" s="122">
        <v>35</v>
      </c>
      <c r="AH23" s="121">
        <v>35</v>
      </c>
      <c r="AI23" s="121">
        <v>35</v>
      </c>
      <c r="AJ23" s="120">
        <v>35</v>
      </c>
      <c r="AK23" s="120" t="s">
        <v>2104</v>
      </c>
      <c r="AL23" s="120"/>
    </row>
    <row r="24" spans="1:38">
      <c r="A24" s="3" t="s">
        <v>622</v>
      </c>
      <c r="B24" s="3" t="s">
        <v>925</v>
      </c>
      <c r="C24" s="3">
        <v>16</v>
      </c>
      <c r="D24" s="3" t="s">
        <v>541</v>
      </c>
      <c r="E24" s="117" t="s">
        <v>622</v>
      </c>
      <c r="F24" s="119">
        <v>36</v>
      </c>
      <c r="G24" s="119">
        <v>36</v>
      </c>
      <c r="H24" s="119">
        <v>36</v>
      </c>
      <c r="I24" s="119">
        <v>36</v>
      </c>
      <c r="J24" s="120">
        <v>36</v>
      </c>
      <c r="K24" s="120">
        <v>36</v>
      </c>
      <c r="L24" s="120">
        <v>36</v>
      </c>
      <c r="M24" s="120">
        <v>36</v>
      </c>
      <c r="N24" s="119">
        <v>43</v>
      </c>
      <c r="O24" s="119">
        <v>43</v>
      </c>
      <c r="P24" s="119">
        <v>43</v>
      </c>
      <c r="Q24" s="119">
        <v>43</v>
      </c>
      <c r="R24" s="120">
        <v>43</v>
      </c>
      <c r="S24" s="120">
        <v>43</v>
      </c>
      <c r="T24" s="120">
        <v>43</v>
      </c>
      <c r="U24" s="120">
        <v>43</v>
      </c>
      <c r="V24" s="119">
        <v>43</v>
      </c>
      <c r="W24" s="119">
        <v>43</v>
      </c>
      <c r="X24" s="119">
        <v>43</v>
      </c>
      <c r="Y24" s="119">
        <v>43</v>
      </c>
      <c r="Z24" s="120">
        <v>43</v>
      </c>
      <c r="AA24" s="120">
        <v>43</v>
      </c>
      <c r="AB24" s="120">
        <v>43</v>
      </c>
      <c r="AC24" s="120">
        <v>43</v>
      </c>
      <c r="AD24" s="119">
        <v>43</v>
      </c>
      <c r="AE24" s="119">
        <v>43</v>
      </c>
      <c r="AF24" s="119">
        <v>43</v>
      </c>
      <c r="AG24" s="119">
        <v>43</v>
      </c>
      <c r="AH24" s="121">
        <v>46</v>
      </c>
      <c r="AI24" s="121">
        <v>46</v>
      </c>
      <c r="AJ24" s="120">
        <v>46</v>
      </c>
      <c r="AK24" s="120" t="s">
        <v>2105</v>
      </c>
      <c r="AL24" s="120"/>
    </row>
    <row r="25" spans="1:38">
      <c r="A25" s="3" t="s">
        <v>926</v>
      </c>
      <c r="B25" s="3" t="s">
        <v>927</v>
      </c>
      <c r="C25" s="3">
        <v>17</v>
      </c>
      <c r="D25" s="3" t="s">
        <v>664</v>
      </c>
      <c r="E25" s="117" t="s">
        <v>926</v>
      </c>
      <c r="F25" s="119">
        <v>132</v>
      </c>
      <c r="G25" s="119">
        <v>132</v>
      </c>
      <c r="H25" s="120">
        <v>132</v>
      </c>
      <c r="I25" s="120">
        <v>132</v>
      </c>
      <c r="J25" s="119">
        <v>126</v>
      </c>
      <c r="K25" s="119">
        <v>126</v>
      </c>
      <c r="L25" s="120">
        <v>60</v>
      </c>
      <c r="M25" s="120">
        <v>60</v>
      </c>
      <c r="N25" s="119">
        <v>60</v>
      </c>
      <c r="O25" s="119">
        <v>60</v>
      </c>
      <c r="P25" s="120">
        <v>60</v>
      </c>
      <c r="Q25" s="120">
        <v>60</v>
      </c>
      <c r="R25" s="119">
        <v>60</v>
      </c>
      <c r="S25" s="119">
        <v>60</v>
      </c>
      <c r="T25" s="120">
        <v>60</v>
      </c>
      <c r="U25" s="120">
        <v>60</v>
      </c>
      <c r="V25" s="119">
        <v>60</v>
      </c>
      <c r="W25" s="119">
        <v>60</v>
      </c>
      <c r="X25" s="120">
        <v>60</v>
      </c>
      <c r="Y25" s="120">
        <v>60</v>
      </c>
      <c r="Z25" s="119">
        <v>60</v>
      </c>
      <c r="AA25" s="119">
        <v>60</v>
      </c>
      <c r="AB25" s="120">
        <v>60</v>
      </c>
      <c r="AC25" s="120">
        <v>60</v>
      </c>
      <c r="AD25" s="119">
        <v>60</v>
      </c>
      <c r="AE25" s="119">
        <v>60</v>
      </c>
      <c r="AF25" s="121">
        <v>60</v>
      </c>
      <c r="AG25" s="121">
        <v>60</v>
      </c>
      <c r="AH25" s="122">
        <v>60</v>
      </c>
      <c r="AI25" s="122">
        <v>60</v>
      </c>
      <c r="AJ25" s="129">
        <v>60</v>
      </c>
      <c r="AK25" s="120" t="s">
        <v>2106</v>
      </c>
      <c r="AL25" s="120"/>
    </row>
    <row r="26" spans="1:38">
      <c r="A26" s="3" t="s">
        <v>928</v>
      </c>
      <c r="B26" s="3" t="s">
        <v>929</v>
      </c>
      <c r="C26" s="3">
        <v>18</v>
      </c>
      <c r="D26" s="3" t="s">
        <v>713</v>
      </c>
      <c r="E26" s="117" t="s">
        <v>928</v>
      </c>
      <c r="F26" s="119">
        <v>30</v>
      </c>
      <c r="G26" s="119">
        <v>30</v>
      </c>
      <c r="H26" s="119">
        <v>30</v>
      </c>
      <c r="I26" s="119">
        <v>30</v>
      </c>
      <c r="J26" s="120">
        <v>42</v>
      </c>
      <c r="K26" s="120">
        <v>42</v>
      </c>
      <c r="L26" s="120">
        <v>42</v>
      </c>
      <c r="M26" s="120">
        <v>42</v>
      </c>
      <c r="N26" s="119">
        <v>42</v>
      </c>
      <c r="O26" s="119">
        <v>42</v>
      </c>
      <c r="P26" s="119">
        <v>42</v>
      </c>
      <c r="Q26" s="119">
        <v>42</v>
      </c>
      <c r="R26" s="120">
        <v>45</v>
      </c>
      <c r="S26" s="120">
        <v>45</v>
      </c>
      <c r="T26" s="120">
        <v>45</v>
      </c>
      <c r="U26" s="120">
        <v>45</v>
      </c>
      <c r="V26" s="119">
        <v>45</v>
      </c>
      <c r="W26" s="119">
        <v>45</v>
      </c>
      <c r="X26" s="119">
        <v>45</v>
      </c>
      <c r="Y26" s="119">
        <v>45</v>
      </c>
      <c r="Z26" s="120">
        <v>34</v>
      </c>
      <c r="AA26" s="120">
        <v>34</v>
      </c>
      <c r="AB26" s="120">
        <v>34</v>
      </c>
      <c r="AC26" s="120">
        <v>34</v>
      </c>
      <c r="AD26" s="119">
        <v>34</v>
      </c>
      <c r="AE26" s="119">
        <v>34</v>
      </c>
      <c r="AF26" s="119">
        <v>34</v>
      </c>
      <c r="AG26" s="119">
        <v>34</v>
      </c>
      <c r="AH26" s="120">
        <v>34</v>
      </c>
      <c r="AI26" s="120">
        <v>34</v>
      </c>
      <c r="AJ26" s="120">
        <v>34</v>
      </c>
      <c r="AK26" s="120" t="s">
        <v>2107</v>
      </c>
      <c r="AL26" s="120"/>
    </row>
    <row r="27" spans="1:38">
      <c r="A27" s="3" t="s">
        <v>841</v>
      </c>
      <c r="B27" s="3" t="s">
        <v>659</v>
      </c>
      <c r="C27" s="3">
        <v>19</v>
      </c>
      <c r="D27" s="3" t="s">
        <v>713</v>
      </c>
      <c r="E27" s="117" t="s">
        <v>841</v>
      </c>
      <c r="F27" s="119">
        <v>30</v>
      </c>
      <c r="G27" s="119">
        <v>30</v>
      </c>
      <c r="H27" s="120">
        <v>30</v>
      </c>
      <c r="I27" s="120">
        <v>30</v>
      </c>
      <c r="J27" s="119">
        <v>43</v>
      </c>
      <c r="K27" s="119">
        <v>43</v>
      </c>
      <c r="L27" s="120">
        <v>43</v>
      </c>
      <c r="M27" s="120">
        <v>43</v>
      </c>
      <c r="N27" s="119">
        <v>43</v>
      </c>
      <c r="O27" s="119">
        <v>43</v>
      </c>
      <c r="P27" s="120">
        <v>43</v>
      </c>
      <c r="Q27" s="120">
        <v>43</v>
      </c>
      <c r="R27" s="119">
        <v>43</v>
      </c>
      <c r="S27" s="119">
        <v>43</v>
      </c>
      <c r="T27" s="120">
        <v>43</v>
      </c>
      <c r="U27" s="120">
        <v>43</v>
      </c>
      <c r="V27" s="119">
        <v>43</v>
      </c>
      <c r="W27" s="119">
        <v>43</v>
      </c>
      <c r="X27" s="120">
        <v>43</v>
      </c>
      <c r="Y27" s="120">
        <v>43</v>
      </c>
      <c r="Z27" s="119">
        <v>43</v>
      </c>
      <c r="AA27" s="119">
        <v>43</v>
      </c>
      <c r="AB27" s="120">
        <v>43</v>
      </c>
      <c r="AC27" s="120">
        <v>43</v>
      </c>
      <c r="AD27" s="119">
        <v>43</v>
      </c>
      <c r="AE27" s="119">
        <v>43</v>
      </c>
      <c r="AF27" s="121">
        <v>43</v>
      </c>
      <c r="AG27" s="121">
        <v>43</v>
      </c>
      <c r="AH27" s="122">
        <v>43</v>
      </c>
      <c r="AI27" s="122">
        <v>43</v>
      </c>
      <c r="AJ27" s="120">
        <v>43</v>
      </c>
      <c r="AK27" s="120" t="s">
        <v>2108</v>
      </c>
      <c r="AL27" s="120"/>
    </row>
    <row r="28" spans="1:38">
      <c r="A28" s="3" t="s">
        <v>660</v>
      </c>
      <c r="B28" s="3" t="s">
        <v>661</v>
      </c>
      <c r="C28" s="3">
        <v>20</v>
      </c>
      <c r="D28" s="3" t="s">
        <v>541</v>
      </c>
      <c r="E28" s="117" t="s">
        <v>660</v>
      </c>
      <c r="F28" s="119">
        <v>24</v>
      </c>
      <c r="G28" s="119">
        <v>24</v>
      </c>
      <c r="H28" s="120">
        <v>24</v>
      </c>
      <c r="I28" s="120">
        <v>24</v>
      </c>
      <c r="J28" s="119">
        <v>24</v>
      </c>
      <c r="K28" s="119">
        <v>24</v>
      </c>
      <c r="L28" s="120">
        <v>24</v>
      </c>
      <c r="M28" s="120">
        <v>24</v>
      </c>
      <c r="N28" s="119">
        <v>24</v>
      </c>
      <c r="O28" s="119">
        <v>24</v>
      </c>
      <c r="P28" s="120">
        <v>24</v>
      </c>
      <c r="Q28" s="120">
        <v>24</v>
      </c>
      <c r="R28" s="119">
        <v>24</v>
      </c>
      <c r="S28" s="119">
        <v>24</v>
      </c>
      <c r="T28" s="120">
        <v>24</v>
      </c>
      <c r="U28" s="120">
        <v>24</v>
      </c>
      <c r="V28" s="119">
        <v>24</v>
      </c>
      <c r="W28" s="119">
        <v>24</v>
      </c>
      <c r="X28" s="119">
        <v>24</v>
      </c>
      <c r="Y28" s="119">
        <v>24</v>
      </c>
      <c r="Z28" s="123">
        <v>24</v>
      </c>
      <c r="AA28" s="123">
        <v>24</v>
      </c>
      <c r="AB28" s="123">
        <v>24</v>
      </c>
      <c r="AC28" s="123">
        <v>24</v>
      </c>
      <c r="AD28" s="119">
        <v>24</v>
      </c>
      <c r="AE28" s="119">
        <v>24</v>
      </c>
      <c r="AF28" s="122">
        <v>24</v>
      </c>
      <c r="AG28" s="122">
        <v>24</v>
      </c>
      <c r="AH28" s="129">
        <v>24</v>
      </c>
      <c r="AI28" s="129">
        <v>24</v>
      </c>
      <c r="AJ28" s="129">
        <v>24</v>
      </c>
      <c r="AK28" s="120" t="s">
        <v>2109</v>
      </c>
      <c r="AL28" s="120"/>
    </row>
    <row r="29" spans="1:38">
      <c r="A29" s="3" t="s">
        <v>80</v>
      </c>
      <c r="B29" s="3" t="s">
        <v>747</v>
      </c>
      <c r="C29" s="3">
        <v>21</v>
      </c>
      <c r="D29" s="3" t="s">
        <v>759</v>
      </c>
      <c r="E29" s="117" t="s">
        <v>2089</v>
      </c>
      <c r="F29" s="119">
        <v>50</v>
      </c>
      <c r="G29" s="119">
        <v>50</v>
      </c>
      <c r="H29" s="119">
        <v>50</v>
      </c>
      <c r="I29" s="119">
        <v>50</v>
      </c>
      <c r="J29" s="120">
        <v>50</v>
      </c>
      <c r="K29" s="120">
        <v>50</v>
      </c>
      <c r="L29" s="120">
        <v>50</v>
      </c>
      <c r="M29" s="120">
        <v>50</v>
      </c>
      <c r="N29" s="119">
        <v>50</v>
      </c>
      <c r="O29" s="119">
        <v>50</v>
      </c>
      <c r="P29" s="119">
        <v>50</v>
      </c>
      <c r="Q29" s="119">
        <v>50</v>
      </c>
      <c r="R29" s="120">
        <v>50</v>
      </c>
      <c r="S29" s="120">
        <v>50</v>
      </c>
      <c r="T29" s="120">
        <v>50</v>
      </c>
      <c r="U29" s="120">
        <v>50</v>
      </c>
      <c r="V29" s="119">
        <v>50</v>
      </c>
      <c r="W29" s="119">
        <v>50</v>
      </c>
      <c r="X29" s="119">
        <v>50</v>
      </c>
      <c r="Y29" s="119">
        <v>50</v>
      </c>
      <c r="Z29" s="120">
        <v>50</v>
      </c>
      <c r="AA29" s="120">
        <v>50</v>
      </c>
      <c r="AB29" s="120">
        <v>50</v>
      </c>
      <c r="AC29" s="120">
        <v>50</v>
      </c>
      <c r="AD29" s="119">
        <v>50</v>
      </c>
      <c r="AE29" s="119">
        <v>50</v>
      </c>
      <c r="AF29" s="122">
        <v>50</v>
      </c>
      <c r="AG29" s="122">
        <v>50</v>
      </c>
      <c r="AH29" s="121">
        <v>50</v>
      </c>
      <c r="AI29" s="121">
        <v>50</v>
      </c>
      <c r="AJ29" s="120">
        <v>50</v>
      </c>
      <c r="AK29" s="120" t="s">
        <v>2110</v>
      </c>
      <c r="AL29" s="120"/>
    </row>
    <row r="30" spans="1:38">
      <c r="A30" s="3" t="s">
        <v>721</v>
      </c>
      <c r="B30" s="3" t="s">
        <v>722</v>
      </c>
      <c r="C30" s="3">
        <v>22</v>
      </c>
      <c r="D30" s="3" t="s">
        <v>664</v>
      </c>
      <c r="E30" s="117" t="s">
        <v>721</v>
      </c>
      <c r="F30" s="119">
        <v>30</v>
      </c>
      <c r="G30" s="119">
        <v>30</v>
      </c>
      <c r="H30" s="119">
        <v>30</v>
      </c>
      <c r="I30" s="119">
        <v>30</v>
      </c>
      <c r="J30" s="123">
        <v>45</v>
      </c>
      <c r="K30" s="123">
        <v>45</v>
      </c>
      <c r="L30" s="119">
        <v>45</v>
      </c>
      <c r="M30" s="119">
        <v>45</v>
      </c>
      <c r="N30" s="123">
        <v>45</v>
      </c>
      <c r="O30" s="123">
        <v>45</v>
      </c>
      <c r="P30" s="119">
        <v>45</v>
      </c>
      <c r="Q30" s="119">
        <v>45</v>
      </c>
      <c r="R30" s="123">
        <v>45</v>
      </c>
      <c r="S30" s="123">
        <v>45</v>
      </c>
      <c r="T30" s="119">
        <v>45</v>
      </c>
      <c r="U30" s="119">
        <v>45</v>
      </c>
      <c r="V30" s="123">
        <v>50</v>
      </c>
      <c r="W30" s="123">
        <v>50</v>
      </c>
      <c r="X30" s="119">
        <v>50</v>
      </c>
      <c r="Y30" s="119">
        <v>50</v>
      </c>
      <c r="Z30" s="123">
        <v>50</v>
      </c>
      <c r="AA30" s="123">
        <v>50</v>
      </c>
      <c r="AB30" s="119">
        <v>50</v>
      </c>
      <c r="AC30" s="119">
        <v>50</v>
      </c>
      <c r="AD30" s="129">
        <v>50</v>
      </c>
      <c r="AE30" s="129">
        <v>40</v>
      </c>
      <c r="AF30" s="122">
        <v>40</v>
      </c>
      <c r="AG30" s="122">
        <v>40</v>
      </c>
      <c r="AH30" s="129">
        <v>40</v>
      </c>
      <c r="AI30" s="129">
        <v>40</v>
      </c>
      <c r="AJ30" s="119">
        <v>40</v>
      </c>
      <c r="AK30" s="120" t="s">
        <v>2111</v>
      </c>
      <c r="AL30" s="120"/>
    </row>
    <row r="31" spans="1:38">
      <c r="A31" s="3" t="s">
        <v>723</v>
      </c>
      <c r="B31" s="3" t="s">
        <v>724</v>
      </c>
      <c r="C31" s="3">
        <v>23</v>
      </c>
      <c r="D31" s="3" t="s">
        <v>541</v>
      </c>
      <c r="E31" s="117" t="s">
        <v>723</v>
      </c>
      <c r="F31" s="119">
        <v>15</v>
      </c>
      <c r="G31" s="119">
        <v>15</v>
      </c>
      <c r="H31" s="123">
        <v>15</v>
      </c>
      <c r="I31" s="123">
        <v>15</v>
      </c>
      <c r="J31" s="123">
        <v>15</v>
      </c>
      <c r="K31" s="123">
        <v>15</v>
      </c>
      <c r="L31" s="119">
        <v>15</v>
      </c>
      <c r="M31" s="119">
        <v>15</v>
      </c>
      <c r="N31" s="123">
        <v>15</v>
      </c>
      <c r="O31" s="123">
        <v>15</v>
      </c>
      <c r="P31" s="123">
        <v>15</v>
      </c>
      <c r="Q31" s="123">
        <v>15</v>
      </c>
      <c r="R31" s="119">
        <v>15</v>
      </c>
      <c r="S31" s="119">
        <v>15</v>
      </c>
      <c r="T31" s="119">
        <v>15</v>
      </c>
      <c r="U31" s="119">
        <v>15</v>
      </c>
      <c r="V31" s="123">
        <v>15</v>
      </c>
      <c r="W31" s="123">
        <v>15</v>
      </c>
      <c r="X31" s="123">
        <v>15</v>
      </c>
      <c r="Y31" s="123">
        <v>15</v>
      </c>
      <c r="Z31" s="119">
        <v>15</v>
      </c>
      <c r="AA31" s="119">
        <v>15</v>
      </c>
      <c r="AB31" s="119">
        <v>15</v>
      </c>
      <c r="AC31" s="119">
        <v>15</v>
      </c>
      <c r="AD31" s="123">
        <v>15</v>
      </c>
      <c r="AE31" s="123">
        <v>15</v>
      </c>
      <c r="AF31" s="129">
        <v>15</v>
      </c>
      <c r="AG31" s="129">
        <v>15</v>
      </c>
      <c r="AH31" s="122">
        <v>15</v>
      </c>
      <c r="AI31" s="122">
        <v>15</v>
      </c>
      <c r="AJ31" s="119">
        <v>15</v>
      </c>
      <c r="AK31" s="120" t="s">
        <v>2112</v>
      </c>
      <c r="AL31" s="120"/>
    </row>
    <row r="32" spans="1:38">
      <c r="A32" s="3" t="s">
        <v>725</v>
      </c>
      <c r="B32" s="3" t="s">
        <v>726</v>
      </c>
      <c r="C32" s="3">
        <v>24</v>
      </c>
      <c r="D32" s="3" t="s">
        <v>664</v>
      </c>
      <c r="E32" s="117" t="s">
        <v>725</v>
      </c>
      <c r="F32" s="119">
        <v>40</v>
      </c>
      <c r="G32" s="119">
        <v>40</v>
      </c>
      <c r="H32" s="120">
        <v>40</v>
      </c>
      <c r="I32" s="120">
        <v>40</v>
      </c>
      <c r="J32" s="119">
        <v>40</v>
      </c>
      <c r="K32" s="119">
        <v>40</v>
      </c>
      <c r="L32" s="120">
        <v>40</v>
      </c>
      <c r="M32" s="120">
        <v>40</v>
      </c>
      <c r="N32" s="119">
        <v>40</v>
      </c>
      <c r="O32" s="119">
        <v>40</v>
      </c>
      <c r="P32" s="119">
        <v>40</v>
      </c>
      <c r="Q32" s="119">
        <v>40</v>
      </c>
      <c r="R32" s="120">
        <v>40</v>
      </c>
      <c r="S32" s="120">
        <v>40</v>
      </c>
      <c r="T32" s="120">
        <v>40</v>
      </c>
      <c r="U32" s="120">
        <v>40</v>
      </c>
      <c r="V32" s="119">
        <v>40</v>
      </c>
      <c r="W32" s="119">
        <v>40</v>
      </c>
      <c r="X32" s="119">
        <v>40</v>
      </c>
      <c r="Y32" s="119">
        <v>40</v>
      </c>
      <c r="Z32" s="120">
        <v>40</v>
      </c>
      <c r="AA32" s="120">
        <v>40</v>
      </c>
      <c r="AB32" s="120">
        <v>40</v>
      </c>
      <c r="AC32" s="120">
        <v>40</v>
      </c>
      <c r="AD32" s="119">
        <v>49</v>
      </c>
      <c r="AE32" s="119">
        <v>49</v>
      </c>
      <c r="AF32" s="119">
        <v>49</v>
      </c>
      <c r="AG32" s="119">
        <v>49</v>
      </c>
      <c r="AH32" s="121">
        <v>49</v>
      </c>
      <c r="AI32" s="121">
        <v>49</v>
      </c>
      <c r="AJ32" s="121">
        <v>49</v>
      </c>
      <c r="AK32" s="120" t="s">
        <v>2096</v>
      </c>
      <c r="AL32" s="120"/>
    </row>
    <row r="34" spans="1:36">
      <c r="A34" s="3" t="s">
        <v>727</v>
      </c>
    </row>
    <row r="35" spans="1:36" s="7" customFormat="1" ht="132">
      <c r="A35" s="7" t="s">
        <v>728</v>
      </c>
      <c r="F35" s="7" t="s">
        <v>2410</v>
      </c>
      <c r="G35" s="7" t="s">
        <v>2410</v>
      </c>
      <c r="H35" s="7" t="s">
        <v>2410</v>
      </c>
      <c r="I35" s="7" t="s">
        <v>2410</v>
      </c>
      <c r="J35" s="7" t="s">
        <v>2410</v>
      </c>
      <c r="K35" s="7" t="s">
        <v>2410</v>
      </c>
      <c r="L35" s="7" t="s">
        <v>2410</v>
      </c>
      <c r="M35" s="7" t="s">
        <v>2410</v>
      </c>
      <c r="N35" s="7" t="s">
        <v>2410</v>
      </c>
      <c r="O35" s="7" t="s">
        <v>2410</v>
      </c>
      <c r="P35" s="7" t="s">
        <v>2410</v>
      </c>
      <c r="Q35" s="7" t="s">
        <v>2410</v>
      </c>
      <c r="R35" s="7" t="s">
        <v>2410</v>
      </c>
      <c r="S35" s="7" t="s">
        <v>2410</v>
      </c>
      <c r="T35" s="7" t="s">
        <v>2410</v>
      </c>
      <c r="U35" s="7" t="s">
        <v>2410</v>
      </c>
      <c r="V35" s="7" t="s">
        <v>2410</v>
      </c>
      <c r="W35" s="7" t="s">
        <v>2410</v>
      </c>
      <c r="X35" s="7" t="s">
        <v>2410</v>
      </c>
      <c r="Y35" s="7" t="s">
        <v>2410</v>
      </c>
      <c r="Z35" s="7" t="s">
        <v>2410</v>
      </c>
      <c r="AA35" s="7" t="s">
        <v>2410</v>
      </c>
      <c r="AB35" s="7" t="s">
        <v>2410</v>
      </c>
      <c r="AC35" s="7" t="s">
        <v>2410</v>
      </c>
      <c r="AD35" s="7" t="s">
        <v>2410</v>
      </c>
      <c r="AE35" s="7" t="s">
        <v>2410</v>
      </c>
      <c r="AF35" s="7" t="s">
        <v>2410</v>
      </c>
      <c r="AG35" s="7" t="s">
        <v>2410</v>
      </c>
      <c r="AH35" s="7" t="s">
        <v>2410</v>
      </c>
      <c r="AI35" s="7" t="s">
        <v>2410</v>
      </c>
      <c r="AJ35" s="7" t="s">
        <v>2410</v>
      </c>
    </row>
    <row r="36" spans="1:36">
      <c r="A36" s="7"/>
      <c r="B36" s="7"/>
      <c r="C36" s="7"/>
      <c r="D36" s="7"/>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baseColWidth="10" defaultRowHeight="13" x14ac:dyDescent="0"/>
  <cols>
    <col min="1" max="1" width="17.140625" customWidth="1"/>
    <col min="2" max="4" width="14.7109375" customWidth="1"/>
    <col min="5" max="9" width="10.7109375" style="3"/>
  </cols>
  <sheetData>
    <row r="1" spans="1:9">
      <c r="A1" s="184" t="s">
        <v>2404</v>
      </c>
      <c r="B1" s="3"/>
      <c r="C1" s="3"/>
      <c r="D1" s="3"/>
    </row>
    <row r="2" spans="1:9">
      <c r="A2" s="1" t="s">
        <v>2013</v>
      </c>
      <c r="E2" s="1" t="s">
        <v>1321</v>
      </c>
      <c r="F2" s="1" t="s">
        <v>1321</v>
      </c>
      <c r="G2" s="1" t="s">
        <v>1321</v>
      </c>
      <c r="H2" s="1" t="s">
        <v>1321</v>
      </c>
      <c r="I2" s="1" t="s">
        <v>2081</v>
      </c>
    </row>
    <row r="3" spans="1:9">
      <c r="A3" s="1" t="s">
        <v>2014</v>
      </c>
      <c r="B3" s="1"/>
      <c r="C3" s="1"/>
      <c r="D3" s="1"/>
      <c r="E3" s="1" t="s">
        <v>2083</v>
      </c>
      <c r="F3" s="1" t="s">
        <v>2083</v>
      </c>
      <c r="G3" s="1" t="s">
        <v>2082</v>
      </c>
      <c r="H3" s="1" t="s">
        <v>2082</v>
      </c>
      <c r="I3" s="1" t="s">
        <v>2083</v>
      </c>
    </row>
    <row r="4" spans="1:9">
      <c r="A4" s="1" t="s">
        <v>2015</v>
      </c>
      <c r="B4" s="1"/>
      <c r="C4" s="1"/>
      <c r="D4" s="1"/>
      <c r="E4" s="1"/>
      <c r="F4" s="1"/>
      <c r="G4" s="1"/>
      <c r="H4" s="1"/>
      <c r="I4" s="1"/>
    </row>
    <row r="5" spans="1:9">
      <c r="A5" s="1" t="s">
        <v>728</v>
      </c>
      <c r="B5" s="1"/>
      <c r="C5" s="1"/>
      <c r="D5" s="1"/>
      <c r="E5" s="1" t="s">
        <v>1985</v>
      </c>
      <c r="F5" s="1" t="s">
        <v>1984</v>
      </c>
      <c r="G5" s="1" t="s">
        <v>1525</v>
      </c>
      <c r="H5" s="1" t="s">
        <v>1525</v>
      </c>
      <c r="I5" s="1" t="s">
        <v>1586</v>
      </c>
    </row>
    <row r="6" spans="1:9">
      <c r="A6" s="42" t="s">
        <v>2016</v>
      </c>
      <c r="B6" s="1"/>
      <c r="C6" s="1"/>
      <c r="D6" s="1"/>
      <c r="E6" s="42" t="s">
        <v>1821</v>
      </c>
      <c r="F6" s="42" t="s">
        <v>1821</v>
      </c>
      <c r="G6" s="42">
        <v>1999</v>
      </c>
      <c r="H6" s="42" t="s">
        <v>1535</v>
      </c>
      <c r="I6" s="42" t="s">
        <v>1544</v>
      </c>
    </row>
    <row r="7" spans="1:9" ht="110">
      <c r="A7" s="7" t="s">
        <v>3334</v>
      </c>
      <c r="B7" s="42"/>
      <c r="C7" s="42"/>
      <c r="D7" s="42"/>
      <c r="E7" s="1" t="s">
        <v>1982</v>
      </c>
      <c r="F7" s="1" t="s">
        <v>1982</v>
      </c>
      <c r="G7" s="1" t="s">
        <v>1981</v>
      </c>
      <c r="H7" s="1" t="s">
        <v>1534</v>
      </c>
      <c r="I7" s="1" t="s">
        <v>1543</v>
      </c>
    </row>
    <row r="8" spans="1:9" s="90" customFormat="1">
      <c r="A8" s="133" t="s">
        <v>572</v>
      </c>
      <c r="B8" s="133" t="s">
        <v>770</v>
      </c>
      <c r="C8" s="133" t="s">
        <v>771</v>
      </c>
      <c r="D8" s="133" t="s">
        <v>772</v>
      </c>
      <c r="E8" s="133" t="s">
        <v>1983</v>
      </c>
      <c r="F8" s="125" t="s">
        <v>1979</v>
      </c>
      <c r="G8" s="125" t="s">
        <v>1978</v>
      </c>
      <c r="H8" s="125" t="s">
        <v>1541</v>
      </c>
      <c r="I8" s="133" t="s">
        <v>1977</v>
      </c>
    </row>
    <row r="9" spans="1:9">
      <c r="A9" s="3" t="s">
        <v>850</v>
      </c>
      <c r="B9" s="3" t="s">
        <v>851</v>
      </c>
      <c r="C9" s="3">
        <v>1</v>
      </c>
      <c r="D9" s="3" t="s">
        <v>759</v>
      </c>
      <c r="E9" s="46">
        <v>92</v>
      </c>
      <c r="F9" s="49">
        <v>92</v>
      </c>
      <c r="G9" s="49">
        <v>138</v>
      </c>
      <c r="H9" s="49">
        <v>138</v>
      </c>
      <c r="I9" s="46">
        <v>92</v>
      </c>
    </row>
    <row r="10" spans="1:9">
      <c r="A10" s="3" t="s">
        <v>667</v>
      </c>
      <c r="B10" s="3" t="s">
        <v>668</v>
      </c>
      <c r="C10" s="3">
        <v>2</v>
      </c>
      <c r="D10" s="3" t="s">
        <v>759</v>
      </c>
      <c r="E10" s="49">
        <v>60</v>
      </c>
      <c r="F10" s="46">
        <v>60</v>
      </c>
      <c r="G10" s="46">
        <v>60</v>
      </c>
      <c r="H10" s="46">
        <v>60</v>
      </c>
      <c r="I10" s="49">
        <v>60</v>
      </c>
    </row>
    <row r="11" spans="1:9">
      <c r="A11" s="3" t="s">
        <v>669</v>
      </c>
      <c r="B11" s="3" t="s">
        <v>663</v>
      </c>
      <c r="C11" s="3">
        <v>3</v>
      </c>
      <c r="D11" s="3" t="s">
        <v>664</v>
      </c>
      <c r="E11" s="46">
        <v>41</v>
      </c>
      <c r="F11" s="46">
        <v>42</v>
      </c>
      <c r="G11" s="46">
        <f>16+41</f>
        <v>57</v>
      </c>
      <c r="H11" s="46">
        <f>16+41</f>
        <v>57</v>
      </c>
      <c r="I11" s="46">
        <v>41</v>
      </c>
    </row>
    <row r="12" spans="1:9">
      <c r="A12" s="3" t="s">
        <v>665</v>
      </c>
      <c r="B12" s="3" t="s">
        <v>640</v>
      </c>
      <c r="C12" s="3">
        <v>4</v>
      </c>
      <c r="D12" s="3" t="s">
        <v>641</v>
      </c>
      <c r="E12" s="46">
        <v>32</v>
      </c>
      <c r="F12" s="46">
        <v>32</v>
      </c>
      <c r="G12" s="46">
        <v>32</v>
      </c>
      <c r="H12" s="46">
        <v>32</v>
      </c>
      <c r="I12" s="46">
        <v>32</v>
      </c>
    </row>
    <row r="13" spans="1:9">
      <c r="A13" s="3" t="s">
        <v>539</v>
      </c>
      <c r="B13" s="3" t="s">
        <v>540</v>
      </c>
      <c r="C13" s="3">
        <v>5</v>
      </c>
      <c r="D13" s="3" t="s">
        <v>541</v>
      </c>
      <c r="E13" s="46">
        <v>27</v>
      </c>
      <c r="F13" s="46">
        <v>27</v>
      </c>
      <c r="G13" s="46">
        <v>27</v>
      </c>
      <c r="H13" s="46">
        <v>27</v>
      </c>
      <c r="I13" s="46">
        <v>27</v>
      </c>
    </row>
    <row r="14" spans="1:9">
      <c r="A14" s="3" t="s">
        <v>542</v>
      </c>
      <c r="B14" s="3" t="s">
        <v>543</v>
      </c>
      <c r="C14" s="3">
        <v>6</v>
      </c>
      <c r="D14" s="3" t="s">
        <v>759</v>
      </c>
      <c r="E14" s="46">
        <v>70</v>
      </c>
      <c r="F14" s="46">
        <v>66</v>
      </c>
      <c r="G14" s="46">
        <v>133</v>
      </c>
      <c r="H14" s="46">
        <v>70</v>
      </c>
      <c r="I14" s="46">
        <v>70</v>
      </c>
    </row>
    <row r="15" spans="1:9">
      <c r="A15" s="3" t="s">
        <v>628</v>
      </c>
      <c r="B15" s="3" t="s">
        <v>629</v>
      </c>
      <c r="C15" s="3">
        <v>7</v>
      </c>
      <c r="D15" s="3" t="s">
        <v>641</v>
      </c>
      <c r="E15" s="46">
        <v>26</v>
      </c>
      <c r="F15" s="46" t="s">
        <v>1980</v>
      </c>
      <c r="G15" s="46">
        <v>39</v>
      </c>
      <c r="H15" s="46">
        <v>39</v>
      </c>
      <c r="I15" s="46">
        <v>26</v>
      </c>
    </row>
    <row r="16" spans="1:9">
      <c r="A16" s="3" t="s">
        <v>630</v>
      </c>
      <c r="B16" s="3" t="s">
        <v>631</v>
      </c>
      <c r="C16" s="3">
        <v>8</v>
      </c>
      <c r="D16" s="3" t="s">
        <v>759</v>
      </c>
      <c r="E16" s="46">
        <v>28</v>
      </c>
      <c r="F16" s="46">
        <v>28</v>
      </c>
      <c r="G16" s="46">
        <v>44</v>
      </c>
      <c r="H16" s="46">
        <v>45</v>
      </c>
      <c r="I16" s="46">
        <v>28</v>
      </c>
    </row>
    <row r="17" spans="1:9">
      <c r="A17" s="3" t="s">
        <v>632</v>
      </c>
      <c r="B17" s="3" t="s">
        <v>633</v>
      </c>
      <c r="C17" s="3">
        <v>9</v>
      </c>
      <c r="D17" s="3" t="s">
        <v>641</v>
      </c>
      <c r="E17" s="46">
        <v>30</v>
      </c>
      <c r="F17" s="46">
        <v>29</v>
      </c>
      <c r="G17" s="46">
        <v>30</v>
      </c>
      <c r="H17" s="46">
        <v>30</v>
      </c>
      <c r="I17" s="46">
        <v>30</v>
      </c>
    </row>
    <row r="18" spans="1:9">
      <c r="A18" s="3" t="s">
        <v>634</v>
      </c>
      <c r="B18" s="3" t="s">
        <v>715</v>
      </c>
      <c r="C18" s="3">
        <v>10</v>
      </c>
      <c r="D18" s="3" t="s">
        <v>664</v>
      </c>
      <c r="E18" s="46">
        <v>48</v>
      </c>
      <c r="F18" s="46">
        <v>49</v>
      </c>
      <c r="G18" s="46">
        <v>48</v>
      </c>
      <c r="H18" s="46">
        <v>48</v>
      </c>
      <c r="I18" s="46">
        <v>48</v>
      </c>
    </row>
    <row r="19" spans="1:9">
      <c r="A19" s="3" t="s">
        <v>716</v>
      </c>
      <c r="B19" s="3" t="s">
        <v>717</v>
      </c>
      <c r="C19" s="3">
        <v>11</v>
      </c>
      <c r="D19" s="3" t="s">
        <v>541</v>
      </c>
      <c r="E19" s="46">
        <v>26</v>
      </c>
      <c r="F19" s="46">
        <v>26</v>
      </c>
      <c r="G19" s="46">
        <v>26</v>
      </c>
      <c r="H19" s="46">
        <v>26</v>
      </c>
      <c r="I19" s="46">
        <v>26</v>
      </c>
    </row>
    <row r="20" spans="1:9">
      <c r="A20" s="3" t="s">
        <v>718</v>
      </c>
      <c r="B20" s="3" t="s">
        <v>719</v>
      </c>
      <c r="C20" s="3">
        <v>12</v>
      </c>
      <c r="D20" s="3" t="s">
        <v>664</v>
      </c>
      <c r="E20" s="46">
        <v>23</v>
      </c>
      <c r="F20" s="46">
        <v>30</v>
      </c>
      <c r="G20" s="46">
        <v>30</v>
      </c>
      <c r="H20" s="46">
        <v>30</v>
      </c>
      <c r="I20" s="46">
        <v>23</v>
      </c>
    </row>
    <row r="21" spans="1:9">
      <c r="A21" s="3" t="s">
        <v>711</v>
      </c>
      <c r="B21" s="3" t="s">
        <v>712</v>
      </c>
      <c r="C21" s="3">
        <v>13</v>
      </c>
      <c r="D21" s="3" t="s">
        <v>713</v>
      </c>
      <c r="E21" s="46">
        <v>48</v>
      </c>
      <c r="F21" s="46">
        <v>48</v>
      </c>
      <c r="G21" s="46">
        <v>86</v>
      </c>
      <c r="H21" s="46">
        <v>86</v>
      </c>
      <c r="I21" s="46">
        <v>48</v>
      </c>
    </row>
    <row r="22" spans="1:9">
      <c r="A22" s="3" t="s">
        <v>714</v>
      </c>
      <c r="B22" s="3" t="s">
        <v>530</v>
      </c>
      <c r="C22" s="3">
        <v>14</v>
      </c>
      <c r="D22" s="3" t="s">
        <v>641</v>
      </c>
      <c r="E22" s="46">
        <v>40</v>
      </c>
      <c r="F22" s="46">
        <v>40</v>
      </c>
      <c r="G22" s="46">
        <v>40</v>
      </c>
      <c r="H22" s="46">
        <v>40</v>
      </c>
      <c r="I22" s="46">
        <v>35</v>
      </c>
    </row>
    <row r="23" spans="1:9">
      <c r="A23" s="3" t="s">
        <v>620</v>
      </c>
      <c r="B23" s="3" t="s">
        <v>621</v>
      </c>
      <c r="C23" s="3">
        <v>15</v>
      </c>
      <c r="D23" s="3" t="s">
        <v>541</v>
      </c>
      <c r="E23" s="46">
        <v>35</v>
      </c>
      <c r="F23" s="46">
        <v>35</v>
      </c>
      <c r="G23" s="46">
        <v>35</v>
      </c>
      <c r="H23" s="46">
        <v>35</v>
      </c>
      <c r="I23" s="46">
        <v>35</v>
      </c>
    </row>
    <row r="24" spans="1:9">
      <c r="A24" s="3" t="s">
        <v>622</v>
      </c>
      <c r="B24" s="3" t="s">
        <v>925</v>
      </c>
      <c r="C24" s="3">
        <v>16</v>
      </c>
      <c r="D24" s="3" t="s">
        <v>541</v>
      </c>
      <c r="E24" s="46">
        <v>43</v>
      </c>
      <c r="F24" s="46">
        <v>43</v>
      </c>
      <c r="G24" s="46">
        <v>43</v>
      </c>
      <c r="H24" s="46">
        <v>43</v>
      </c>
      <c r="I24" s="46">
        <v>43</v>
      </c>
    </row>
    <row r="25" spans="1:9">
      <c r="A25" s="3" t="s">
        <v>926</v>
      </c>
      <c r="B25" s="3" t="s">
        <v>927</v>
      </c>
      <c r="C25" s="3">
        <v>17</v>
      </c>
      <c r="D25" s="3" t="s">
        <v>664</v>
      </c>
      <c r="E25" s="46">
        <v>60</v>
      </c>
      <c r="F25" s="46">
        <v>59</v>
      </c>
      <c r="G25" s="46">
        <v>83</v>
      </c>
      <c r="H25" s="46">
        <v>83</v>
      </c>
      <c r="I25" s="46">
        <v>60</v>
      </c>
    </row>
    <row r="26" spans="1:9">
      <c r="A26" s="3" t="s">
        <v>928</v>
      </c>
      <c r="B26" s="3" t="s">
        <v>929</v>
      </c>
      <c r="C26" s="3">
        <v>18</v>
      </c>
      <c r="D26" s="3" t="s">
        <v>713</v>
      </c>
      <c r="E26" s="46">
        <v>34</v>
      </c>
      <c r="F26" s="46">
        <v>44</v>
      </c>
      <c r="G26" s="46">
        <v>45</v>
      </c>
      <c r="H26" s="46">
        <v>45</v>
      </c>
      <c r="I26" s="46">
        <v>34</v>
      </c>
    </row>
    <row r="27" spans="1:9">
      <c r="A27" s="3" t="s">
        <v>841</v>
      </c>
      <c r="B27" s="3" t="s">
        <v>659</v>
      </c>
      <c r="C27" s="3">
        <v>19</v>
      </c>
      <c r="D27" s="3" t="s">
        <v>713</v>
      </c>
      <c r="E27" s="46">
        <v>43</v>
      </c>
      <c r="F27" s="46">
        <v>42</v>
      </c>
      <c r="G27" s="46">
        <f>43+9</f>
        <v>52</v>
      </c>
      <c r="H27" s="46">
        <f>43+9</f>
        <v>52</v>
      </c>
      <c r="I27" s="46">
        <v>43</v>
      </c>
    </row>
    <row r="28" spans="1:9">
      <c r="A28" s="3" t="s">
        <v>660</v>
      </c>
      <c r="B28" s="3" t="s">
        <v>661</v>
      </c>
      <c r="C28" s="3">
        <v>20</v>
      </c>
      <c r="D28" s="3" t="s">
        <v>541</v>
      </c>
      <c r="E28" s="46">
        <v>34</v>
      </c>
      <c r="F28" s="46">
        <v>24</v>
      </c>
      <c r="G28" s="46">
        <v>24</v>
      </c>
      <c r="H28" s="46">
        <v>24</v>
      </c>
      <c r="I28" s="46">
        <v>24</v>
      </c>
    </row>
    <row r="29" spans="1:9">
      <c r="A29" s="3" t="s">
        <v>80</v>
      </c>
      <c r="B29" s="3" t="s">
        <v>747</v>
      </c>
      <c r="C29" s="3">
        <v>21</v>
      </c>
      <c r="D29" s="3" t="s">
        <v>759</v>
      </c>
      <c r="E29" s="46">
        <v>50</v>
      </c>
      <c r="F29" s="46">
        <v>50</v>
      </c>
      <c r="G29" s="46">
        <v>69</v>
      </c>
      <c r="H29" s="46">
        <v>69</v>
      </c>
      <c r="I29" s="46">
        <v>50</v>
      </c>
    </row>
    <row r="30" spans="1:9">
      <c r="A30" s="3" t="s">
        <v>721</v>
      </c>
      <c r="B30" s="3" t="s">
        <v>722</v>
      </c>
      <c r="C30" s="3">
        <v>22</v>
      </c>
      <c r="D30" s="3" t="s">
        <v>664</v>
      </c>
      <c r="E30" s="46">
        <v>50</v>
      </c>
      <c r="F30" s="53">
        <v>50</v>
      </c>
      <c r="G30" s="53">
        <v>45</v>
      </c>
      <c r="H30" s="53">
        <v>50</v>
      </c>
      <c r="I30" s="46">
        <v>50</v>
      </c>
    </row>
    <row r="31" spans="1:9">
      <c r="A31" s="3" t="s">
        <v>723</v>
      </c>
      <c r="B31" s="3" t="s">
        <v>724</v>
      </c>
      <c r="C31" s="3">
        <v>23</v>
      </c>
      <c r="D31" s="3" t="s">
        <v>541</v>
      </c>
      <c r="E31" s="53">
        <v>15</v>
      </c>
      <c r="F31" s="49">
        <v>14</v>
      </c>
      <c r="G31" s="49">
        <v>15</v>
      </c>
      <c r="H31" s="49">
        <v>15</v>
      </c>
      <c r="I31" s="53">
        <v>15</v>
      </c>
    </row>
    <row r="32" spans="1:9">
      <c r="A32" s="3" t="s">
        <v>725</v>
      </c>
      <c r="B32" s="3" t="s">
        <v>726</v>
      </c>
      <c r="C32" s="3">
        <v>24</v>
      </c>
      <c r="D32" s="3" t="s">
        <v>664</v>
      </c>
      <c r="E32" s="49">
        <v>40</v>
      </c>
      <c r="F32" s="49">
        <v>40</v>
      </c>
      <c r="G32" s="49">
        <v>40</v>
      </c>
      <c r="H32" s="49">
        <v>40</v>
      </c>
      <c r="I32" s="49">
        <v>40</v>
      </c>
    </row>
    <row r="33" spans="1:9">
      <c r="A33" s="117"/>
      <c r="B33" s="3"/>
      <c r="C33" s="3"/>
      <c r="D33" s="3"/>
      <c r="E33" s="49"/>
      <c r="F33" s="11"/>
      <c r="G33" s="54"/>
      <c r="H33" s="54"/>
      <c r="I33" s="49"/>
    </row>
    <row r="34" spans="1:9">
      <c r="A34" s="3" t="s">
        <v>2489</v>
      </c>
      <c r="B34" s="3"/>
      <c r="C34" s="3"/>
      <c r="D34" s="3"/>
      <c r="E34" s="49">
        <f>SUM(E9:E32)</f>
        <v>995</v>
      </c>
      <c r="F34" s="49">
        <f>SUM(F9:F32)</f>
        <v>970</v>
      </c>
      <c r="G34" s="49">
        <f>SUM(G9:G32)</f>
        <v>1241</v>
      </c>
      <c r="H34" s="49">
        <f>SUM(H9:H32)</f>
        <v>1184</v>
      </c>
      <c r="I34" s="49">
        <f>SUM(I9:I32)</f>
        <v>980</v>
      </c>
    </row>
    <row r="35" spans="1:9" ht="297">
      <c r="A35" s="135" t="s">
        <v>728</v>
      </c>
      <c r="B35" s="7"/>
      <c r="C35" s="7"/>
      <c r="D35" s="7"/>
      <c r="E35" s="1" t="s">
        <v>1986</v>
      </c>
      <c r="F35" s="60" t="s">
        <v>1657</v>
      </c>
      <c r="G35" s="60" t="s">
        <v>1522</v>
      </c>
      <c r="H35" s="60" t="s">
        <v>1522</v>
      </c>
      <c r="I35" s="1" t="s">
        <v>236</v>
      </c>
    </row>
    <row r="36" spans="1:9">
      <c r="A36" s="135" t="s">
        <v>2212</v>
      </c>
      <c r="B36" s="7"/>
      <c r="C36" s="7"/>
      <c r="D36" s="7"/>
      <c r="E36" s="7"/>
      <c r="F36" s="7"/>
      <c r="G36" s="7"/>
      <c r="H36" s="7"/>
      <c r="I36" s="7"/>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workbookViewId="0">
      <pane xSplit="14560" topLeftCell="J1" activePane="topRight"/>
      <selection activeCell="A26" sqref="A26:XFD26"/>
      <selection pane="topRight" activeCell="M15" sqref="M15"/>
    </sheetView>
  </sheetViews>
  <sheetFormatPr baseColWidth="10" defaultRowHeight="13" x14ac:dyDescent="0"/>
  <cols>
    <col min="1" max="1" width="15.140625" style="3" customWidth="1"/>
    <col min="2" max="3" width="5.7109375" style="3" customWidth="1"/>
    <col min="4" max="4" width="10.7109375" style="3"/>
  </cols>
  <sheetData>
    <row r="1" spans="1:40">
      <c r="A1" s="137" t="s">
        <v>2404</v>
      </c>
    </row>
    <row r="2" spans="1:40">
      <c r="A2" s="1" t="s">
        <v>614</v>
      </c>
      <c r="B2" s="1"/>
      <c r="C2" s="1"/>
      <c r="D2" s="1"/>
      <c r="F2" s="1" t="s">
        <v>2081</v>
      </c>
      <c r="G2" s="1" t="s">
        <v>2081</v>
      </c>
      <c r="H2" s="1" t="s">
        <v>2081</v>
      </c>
      <c r="I2" s="1" t="s">
        <v>2081</v>
      </c>
      <c r="J2" s="1" t="s">
        <v>2081</v>
      </c>
      <c r="K2" s="1" t="s">
        <v>2081</v>
      </c>
      <c r="L2" s="1" t="s">
        <v>2081</v>
      </c>
      <c r="M2" s="1" t="s">
        <v>2081</v>
      </c>
      <c r="N2" s="1" t="s">
        <v>2081</v>
      </c>
      <c r="O2" s="1" t="s">
        <v>2081</v>
      </c>
      <c r="P2" s="1" t="s">
        <v>2081</v>
      </c>
      <c r="Q2" s="1" t="s">
        <v>2081</v>
      </c>
      <c r="R2" s="1" t="s">
        <v>2081</v>
      </c>
      <c r="S2" s="1" t="s">
        <v>2081</v>
      </c>
      <c r="T2" s="1" t="s">
        <v>2081</v>
      </c>
      <c r="U2" s="1" t="s">
        <v>2081</v>
      </c>
      <c r="V2" s="1" t="s">
        <v>2081</v>
      </c>
      <c r="W2" s="1" t="s">
        <v>2081</v>
      </c>
      <c r="X2" s="1" t="s">
        <v>2081</v>
      </c>
      <c r="Y2" s="1" t="s">
        <v>2081</v>
      </c>
      <c r="Z2" s="1" t="s">
        <v>2081</v>
      </c>
      <c r="AA2" s="1" t="s">
        <v>2081</v>
      </c>
      <c r="AB2" s="1" t="s">
        <v>2081</v>
      </c>
      <c r="AC2" s="1" t="s">
        <v>2081</v>
      </c>
      <c r="AD2" s="1" t="s">
        <v>2081</v>
      </c>
      <c r="AE2" s="1" t="s">
        <v>2081</v>
      </c>
      <c r="AF2" s="1" t="s">
        <v>2081</v>
      </c>
      <c r="AG2" s="1" t="s">
        <v>2081</v>
      </c>
      <c r="AH2" s="1" t="s">
        <v>2081</v>
      </c>
      <c r="AI2" s="1" t="s">
        <v>2081</v>
      </c>
      <c r="AJ2" s="1" t="s">
        <v>2081</v>
      </c>
    </row>
    <row r="3" spans="1:40">
      <c r="A3" s="1" t="s">
        <v>518</v>
      </c>
      <c r="B3" s="1"/>
      <c r="C3" s="1"/>
      <c r="D3" s="1"/>
      <c r="F3" s="1" t="s">
        <v>2083</v>
      </c>
      <c r="G3" s="1" t="s">
        <v>2083</v>
      </c>
      <c r="H3" s="1" t="s">
        <v>2083</v>
      </c>
      <c r="I3" s="1" t="s">
        <v>2083</v>
      </c>
      <c r="J3" s="1" t="s">
        <v>2083</v>
      </c>
      <c r="K3" s="1" t="s">
        <v>2083</v>
      </c>
      <c r="L3" s="1" t="s">
        <v>2083</v>
      </c>
      <c r="M3" s="1" t="s">
        <v>2083</v>
      </c>
      <c r="N3" s="1" t="s">
        <v>2083</v>
      </c>
      <c r="O3" s="1" t="s">
        <v>2083</v>
      </c>
      <c r="P3" s="1" t="s">
        <v>2083</v>
      </c>
      <c r="Q3" s="1" t="s">
        <v>2083</v>
      </c>
      <c r="R3" s="1" t="s">
        <v>2083</v>
      </c>
      <c r="S3" s="1" t="s">
        <v>2083</v>
      </c>
      <c r="T3" s="1" t="s">
        <v>2083</v>
      </c>
      <c r="U3" s="1" t="s">
        <v>2083</v>
      </c>
      <c r="V3" s="1" t="s">
        <v>2083</v>
      </c>
      <c r="W3" s="1" t="s">
        <v>2083</v>
      </c>
      <c r="X3" s="1" t="s">
        <v>2083</v>
      </c>
      <c r="Y3" s="1" t="s">
        <v>2083</v>
      </c>
      <c r="Z3" s="1" t="s">
        <v>2083</v>
      </c>
      <c r="AA3" s="1" t="s">
        <v>2083</v>
      </c>
      <c r="AB3" s="1" t="s">
        <v>2083</v>
      </c>
      <c r="AC3" s="1" t="s">
        <v>2083</v>
      </c>
      <c r="AD3" s="1" t="s">
        <v>2083</v>
      </c>
      <c r="AE3" s="1" t="s">
        <v>2083</v>
      </c>
      <c r="AF3" s="1" t="s">
        <v>2083</v>
      </c>
      <c r="AG3" s="1" t="s">
        <v>2083</v>
      </c>
      <c r="AH3" s="1" t="s">
        <v>2083</v>
      </c>
      <c r="AI3" s="1" t="s">
        <v>2083</v>
      </c>
      <c r="AJ3" s="1" t="s">
        <v>2083</v>
      </c>
    </row>
    <row r="4" spans="1:40">
      <c r="A4" s="1" t="s">
        <v>736</v>
      </c>
      <c r="B4" s="1"/>
      <c r="C4" s="1"/>
      <c r="D4" s="1"/>
      <c r="F4" s="1" t="s">
        <v>2483</v>
      </c>
      <c r="G4" s="1" t="s">
        <v>2483</v>
      </c>
      <c r="H4" s="1" t="s">
        <v>2483</v>
      </c>
      <c r="I4" s="1" t="s">
        <v>2483</v>
      </c>
      <c r="J4" s="1" t="s">
        <v>2483</v>
      </c>
      <c r="K4" s="1" t="s">
        <v>2483</v>
      </c>
      <c r="L4" s="1" t="s">
        <v>2483</v>
      </c>
      <c r="M4" s="1" t="s">
        <v>2483</v>
      </c>
      <c r="N4" s="1" t="s">
        <v>2483</v>
      </c>
      <c r="O4" s="1" t="s">
        <v>2483</v>
      </c>
      <c r="P4" s="1" t="s">
        <v>2483</v>
      </c>
      <c r="Q4" s="1" t="s">
        <v>2483</v>
      </c>
      <c r="R4" s="1" t="s">
        <v>2483</v>
      </c>
      <c r="S4" s="1" t="s">
        <v>2483</v>
      </c>
      <c r="T4" s="1" t="s">
        <v>2483</v>
      </c>
      <c r="U4" s="1" t="s">
        <v>2483</v>
      </c>
      <c r="V4" s="1" t="s">
        <v>2483</v>
      </c>
      <c r="W4" s="1" t="s">
        <v>2483</v>
      </c>
      <c r="X4" s="1" t="s">
        <v>2483</v>
      </c>
      <c r="Y4" s="1" t="s">
        <v>2483</v>
      </c>
      <c r="Z4" s="1" t="s">
        <v>2483</v>
      </c>
      <c r="AA4" s="1" t="s">
        <v>2483</v>
      </c>
      <c r="AB4" s="1" t="s">
        <v>2483</v>
      </c>
      <c r="AC4" s="1" t="s">
        <v>2483</v>
      </c>
      <c r="AD4" s="1" t="s">
        <v>2483</v>
      </c>
      <c r="AE4" s="1" t="s">
        <v>2483</v>
      </c>
      <c r="AF4" s="1" t="s">
        <v>2483</v>
      </c>
      <c r="AG4" s="1" t="s">
        <v>2483</v>
      </c>
      <c r="AH4" s="1" t="s">
        <v>2483</v>
      </c>
      <c r="AI4" s="1" t="s">
        <v>2483</v>
      </c>
      <c r="AJ4" s="1" t="s">
        <v>2483</v>
      </c>
    </row>
    <row r="5" spans="1:40">
      <c r="A5" s="1" t="s">
        <v>737</v>
      </c>
      <c r="B5" s="1"/>
      <c r="C5" s="1"/>
      <c r="D5" s="1"/>
      <c r="F5" s="1" t="s">
        <v>2484</v>
      </c>
      <c r="G5" s="1" t="s">
        <v>2484</v>
      </c>
      <c r="H5" s="1" t="s">
        <v>2484</v>
      </c>
      <c r="I5" s="1" t="s">
        <v>2484</v>
      </c>
      <c r="J5" s="1" t="s">
        <v>2484</v>
      </c>
      <c r="K5" s="1" t="s">
        <v>2484</v>
      </c>
      <c r="L5" s="1" t="s">
        <v>2484</v>
      </c>
      <c r="M5" s="1" t="s">
        <v>2484</v>
      </c>
      <c r="N5" s="1" t="s">
        <v>2484</v>
      </c>
      <c r="O5" s="1" t="s">
        <v>2484</v>
      </c>
      <c r="P5" s="1" t="s">
        <v>2484</v>
      </c>
      <c r="Q5" s="1" t="s">
        <v>2484</v>
      </c>
      <c r="R5" s="1" t="s">
        <v>2484</v>
      </c>
      <c r="S5" s="1" t="s">
        <v>2484</v>
      </c>
      <c r="T5" s="1" t="s">
        <v>2484</v>
      </c>
      <c r="U5" s="1" t="s">
        <v>2484</v>
      </c>
      <c r="V5" s="1" t="s">
        <v>2484</v>
      </c>
      <c r="W5" s="1" t="s">
        <v>2484</v>
      </c>
      <c r="X5" s="1" t="s">
        <v>2484</v>
      </c>
      <c r="Y5" s="1" t="s">
        <v>2484</v>
      </c>
      <c r="Z5" s="1" t="s">
        <v>2484</v>
      </c>
      <c r="AA5" s="1" t="s">
        <v>2484</v>
      </c>
      <c r="AB5" s="1" t="s">
        <v>2484</v>
      </c>
      <c r="AC5" s="1" t="s">
        <v>2484</v>
      </c>
      <c r="AD5" s="1" t="s">
        <v>2484</v>
      </c>
      <c r="AE5" s="1" t="s">
        <v>2484</v>
      </c>
      <c r="AF5" s="1" t="s">
        <v>2484</v>
      </c>
      <c r="AG5" s="1" t="s">
        <v>2484</v>
      </c>
      <c r="AH5" s="1" t="s">
        <v>2484</v>
      </c>
      <c r="AI5" s="1" t="s">
        <v>2484</v>
      </c>
      <c r="AJ5" s="1" t="s">
        <v>2484</v>
      </c>
    </row>
    <row r="6" spans="1:40">
      <c r="A6" s="42" t="s">
        <v>560</v>
      </c>
      <c r="B6" s="42"/>
      <c r="C6" s="42"/>
      <c r="D6" s="42"/>
      <c r="F6" s="118">
        <v>1984</v>
      </c>
      <c r="G6" s="118">
        <v>1985</v>
      </c>
      <c r="H6" s="118">
        <v>1986</v>
      </c>
      <c r="I6" s="118">
        <v>1987</v>
      </c>
      <c r="J6" s="118">
        <v>1988</v>
      </c>
      <c r="K6" s="118">
        <v>1989</v>
      </c>
      <c r="L6" s="118">
        <v>1990</v>
      </c>
      <c r="M6" s="118">
        <v>1991</v>
      </c>
      <c r="N6" s="118">
        <v>1992</v>
      </c>
      <c r="O6" s="118">
        <v>1993</v>
      </c>
      <c r="P6" s="118">
        <v>1994</v>
      </c>
      <c r="Q6" s="118">
        <v>1995</v>
      </c>
      <c r="R6" s="118">
        <v>1996</v>
      </c>
      <c r="S6" s="118">
        <v>1997</v>
      </c>
      <c r="T6" s="118">
        <v>1998</v>
      </c>
      <c r="U6" s="118">
        <v>1999</v>
      </c>
      <c r="V6" s="118">
        <v>2000</v>
      </c>
      <c r="W6" s="118">
        <v>2001</v>
      </c>
      <c r="X6" s="118">
        <v>2002</v>
      </c>
      <c r="Y6" s="118">
        <v>2003</v>
      </c>
      <c r="Z6" s="118">
        <v>2004</v>
      </c>
      <c r="AA6" s="118">
        <v>2005</v>
      </c>
      <c r="AB6" s="118">
        <v>2006</v>
      </c>
      <c r="AC6" s="118">
        <v>2007</v>
      </c>
      <c r="AD6" s="118">
        <v>2008</v>
      </c>
      <c r="AE6" s="118">
        <v>2009</v>
      </c>
      <c r="AF6" s="118">
        <v>2010</v>
      </c>
      <c r="AG6" s="118">
        <v>2011</v>
      </c>
      <c r="AH6" s="118">
        <v>2012</v>
      </c>
      <c r="AI6" s="118">
        <v>2013</v>
      </c>
      <c r="AJ6" s="118">
        <v>2014</v>
      </c>
    </row>
    <row r="7" spans="1:40" ht="77">
      <c r="A7" s="7" t="s">
        <v>3334</v>
      </c>
      <c r="B7" s="42"/>
      <c r="C7" s="42"/>
      <c r="D7" s="42"/>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row>
    <row r="8" spans="1:40">
      <c r="A8" s="9" t="s">
        <v>572</v>
      </c>
      <c r="B8" s="9" t="s">
        <v>770</v>
      </c>
      <c r="C8" s="9" t="s">
        <v>771</v>
      </c>
      <c r="D8" s="9" t="s">
        <v>772</v>
      </c>
      <c r="E8" s="117"/>
      <c r="AK8" s="138" t="s">
        <v>2454</v>
      </c>
      <c r="AL8" s="120" t="s">
        <v>2455</v>
      </c>
      <c r="AM8" s="120" t="s">
        <v>2456</v>
      </c>
      <c r="AN8" s="118" t="s">
        <v>728</v>
      </c>
    </row>
    <row r="9" spans="1:40">
      <c r="A9" s="3" t="s">
        <v>850</v>
      </c>
      <c r="B9" s="3" t="s">
        <v>851</v>
      </c>
      <c r="C9" s="3">
        <v>1</v>
      </c>
      <c r="D9" s="3" t="s">
        <v>759</v>
      </c>
      <c r="E9" s="117" t="s">
        <v>850</v>
      </c>
      <c r="F9" s="149">
        <v>3</v>
      </c>
      <c r="G9" s="149"/>
      <c r="H9" s="149">
        <v>3</v>
      </c>
      <c r="I9" s="149"/>
      <c r="J9" s="149">
        <v>2</v>
      </c>
      <c r="K9" s="149"/>
      <c r="L9" s="149">
        <v>4</v>
      </c>
      <c r="M9" s="149"/>
      <c r="N9" s="149">
        <v>7</v>
      </c>
      <c r="O9" s="149"/>
      <c r="P9" s="149">
        <v>7</v>
      </c>
      <c r="Q9" s="149"/>
      <c r="R9" s="149">
        <v>12</v>
      </c>
      <c r="S9" s="149"/>
      <c r="T9" s="149">
        <v>21</v>
      </c>
      <c r="U9" s="149"/>
      <c r="V9" s="149">
        <v>27</v>
      </c>
      <c r="W9" s="149">
        <v>27</v>
      </c>
      <c r="X9" s="149">
        <v>29</v>
      </c>
      <c r="Y9" s="149">
        <v>29</v>
      </c>
      <c r="Z9" s="149">
        <v>29</v>
      </c>
      <c r="AA9" s="149">
        <v>29</v>
      </c>
      <c r="AB9" s="149">
        <v>28</v>
      </c>
      <c r="AC9" s="149">
        <v>28</v>
      </c>
      <c r="AD9" s="149">
        <v>25</v>
      </c>
      <c r="AE9" s="149">
        <v>26</v>
      </c>
      <c r="AF9" s="149">
        <v>23</v>
      </c>
      <c r="AG9" s="149">
        <v>23</v>
      </c>
      <c r="AH9" s="149">
        <v>25</v>
      </c>
      <c r="AI9" s="149">
        <v>25</v>
      </c>
      <c r="AJ9" s="149">
        <v>26</v>
      </c>
      <c r="AK9" s="11">
        <f t="shared" ref="AK9:AK32" si="0">COUNT(F9:AJ9)</f>
        <v>23</v>
      </c>
      <c r="AL9" s="120">
        <v>2001</v>
      </c>
      <c r="AM9" s="120">
        <v>2014</v>
      </c>
      <c r="AN9" s="120" t="s">
        <v>2457</v>
      </c>
    </row>
    <row r="10" spans="1:40">
      <c r="A10" s="3" t="s">
        <v>667</v>
      </c>
      <c r="B10" s="3" t="s">
        <v>668</v>
      </c>
      <c r="C10" s="3">
        <v>2</v>
      </c>
      <c r="D10" s="3" t="s">
        <v>759</v>
      </c>
      <c r="E10" s="117" t="s">
        <v>667</v>
      </c>
      <c r="F10" s="149"/>
      <c r="G10" s="149"/>
      <c r="H10" s="149"/>
      <c r="I10" s="149"/>
      <c r="J10" s="149"/>
      <c r="K10" s="149"/>
      <c r="L10" s="149"/>
      <c r="M10" s="149"/>
      <c r="N10" s="149"/>
      <c r="O10" s="149"/>
      <c r="P10" s="149"/>
      <c r="Q10" s="149"/>
      <c r="R10" s="149"/>
      <c r="S10" s="149"/>
      <c r="T10" s="149">
        <v>21</v>
      </c>
      <c r="U10" s="149">
        <v>21</v>
      </c>
      <c r="V10" s="149">
        <v>22</v>
      </c>
      <c r="W10" s="149">
        <v>22</v>
      </c>
      <c r="X10" s="149">
        <v>20</v>
      </c>
      <c r="Y10" s="149">
        <v>20</v>
      </c>
      <c r="Z10" s="149">
        <v>24</v>
      </c>
      <c r="AA10" s="149">
        <v>22</v>
      </c>
      <c r="AB10" s="149">
        <v>22</v>
      </c>
      <c r="AC10" s="149">
        <v>22</v>
      </c>
      <c r="AD10" s="149">
        <v>22</v>
      </c>
      <c r="AE10" s="149">
        <v>21</v>
      </c>
      <c r="AF10" s="150">
        <v>21</v>
      </c>
      <c r="AG10" s="150">
        <v>21</v>
      </c>
      <c r="AH10" s="150">
        <v>21</v>
      </c>
      <c r="AI10" s="150">
        <v>21</v>
      </c>
      <c r="AJ10" s="149">
        <v>23</v>
      </c>
      <c r="AK10" s="11">
        <f t="shared" si="0"/>
        <v>17</v>
      </c>
      <c r="AL10" s="120">
        <v>1998</v>
      </c>
      <c r="AM10" s="120">
        <v>2014</v>
      </c>
      <c r="AN10" s="109" t="s">
        <v>2458</v>
      </c>
    </row>
    <row r="11" spans="1:40">
      <c r="A11" s="3" t="s">
        <v>669</v>
      </c>
      <c r="B11" s="3" t="s">
        <v>663</v>
      </c>
      <c r="C11" s="3">
        <v>3</v>
      </c>
      <c r="D11" s="3" t="s">
        <v>664</v>
      </c>
      <c r="E11" s="117" t="s">
        <v>669</v>
      </c>
      <c r="F11" s="149"/>
      <c r="G11" s="149"/>
      <c r="H11" s="149"/>
      <c r="I11" s="149"/>
      <c r="J11" s="149"/>
      <c r="K11" s="149"/>
      <c r="L11" s="149"/>
      <c r="M11" s="149"/>
      <c r="N11" s="149"/>
      <c r="O11" s="149"/>
      <c r="P11" s="149"/>
      <c r="Q11" s="149"/>
      <c r="R11" s="149"/>
      <c r="S11" s="149"/>
      <c r="T11" s="149"/>
      <c r="U11" s="149"/>
      <c r="V11" s="149"/>
      <c r="W11" s="149"/>
      <c r="X11" s="149"/>
      <c r="Y11" s="149"/>
      <c r="Z11" s="149">
        <v>12</v>
      </c>
      <c r="AA11" s="149">
        <v>12</v>
      </c>
      <c r="AB11" s="149"/>
      <c r="AC11" s="149"/>
      <c r="AD11" s="149"/>
      <c r="AE11" s="149"/>
      <c r="AF11" s="150">
        <v>8</v>
      </c>
      <c r="AG11" s="150"/>
      <c r="AH11" s="150">
        <v>13</v>
      </c>
      <c r="AI11" s="150">
        <v>13</v>
      </c>
      <c r="AJ11" s="149">
        <v>14</v>
      </c>
      <c r="AK11" s="11">
        <f t="shared" si="0"/>
        <v>6</v>
      </c>
      <c r="AL11" s="120"/>
      <c r="AM11" s="120"/>
      <c r="AN11" s="120" t="s">
        <v>2459</v>
      </c>
    </row>
    <row r="12" spans="1:40">
      <c r="A12" s="3" t="s">
        <v>665</v>
      </c>
      <c r="B12" s="3" t="s">
        <v>640</v>
      </c>
      <c r="C12" s="3">
        <v>4</v>
      </c>
      <c r="D12" s="3" t="s">
        <v>641</v>
      </c>
      <c r="E12" s="117" t="s">
        <v>665</v>
      </c>
      <c r="F12" s="149">
        <v>4</v>
      </c>
      <c r="G12" s="149">
        <v>4</v>
      </c>
      <c r="H12" s="149">
        <v>5</v>
      </c>
      <c r="I12" s="149">
        <v>4</v>
      </c>
      <c r="J12" s="149">
        <v>3</v>
      </c>
      <c r="K12" s="149">
        <v>3</v>
      </c>
      <c r="L12" s="149">
        <v>3</v>
      </c>
      <c r="M12" s="149">
        <v>3</v>
      </c>
      <c r="N12" s="149">
        <v>3</v>
      </c>
      <c r="O12" s="149">
        <v>2</v>
      </c>
      <c r="P12" s="149">
        <v>5</v>
      </c>
      <c r="Q12" s="149">
        <v>6</v>
      </c>
      <c r="R12" s="149">
        <v>11</v>
      </c>
      <c r="S12" s="149">
        <v>11</v>
      </c>
      <c r="T12" s="149">
        <v>9</v>
      </c>
      <c r="U12" s="149">
        <v>9</v>
      </c>
      <c r="V12" s="149">
        <v>8</v>
      </c>
      <c r="W12" s="149">
        <v>8</v>
      </c>
      <c r="X12" s="149">
        <v>9</v>
      </c>
      <c r="Y12" s="149">
        <v>9</v>
      </c>
      <c r="Z12" s="149">
        <v>11</v>
      </c>
      <c r="AA12" s="149">
        <v>11</v>
      </c>
      <c r="AB12" s="149">
        <v>12</v>
      </c>
      <c r="AC12" s="149">
        <v>12</v>
      </c>
      <c r="AD12" s="149">
        <v>12</v>
      </c>
      <c r="AE12" s="149">
        <v>11</v>
      </c>
      <c r="AF12" s="150">
        <v>11</v>
      </c>
      <c r="AG12" s="150">
        <v>11</v>
      </c>
      <c r="AH12" s="150">
        <v>10</v>
      </c>
      <c r="AI12" s="150">
        <v>10</v>
      </c>
      <c r="AJ12" s="149">
        <v>13</v>
      </c>
      <c r="AK12" s="11">
        <f t="shared" si="0"/>
        <v>31</v>
      </c>
      <c r="AL12" s="120">
        <v>2001</v>
      </c>
      <c r="AM12" s="120">
        <v>2014</v>
      </c>
      <c r="AN12" s="120" t="s">
        <v>2460</v>
      </c>
    </row>
    <row r="13" spans="1:40">
      <c r="A13" s="3" t="s">
        <v>539</v>
      </c>
      <c r="B13" s="3" t="s">
        <v>540</v>
      </c>
      <c r="C13" s="3">
        <v>5</v>
      </c>
      <c r="D13" s="3" t="s">
        <v>541</v>
      </c>
      <c r="E13" s="117" t="s">
        <v>539</v>
      </c>
      <c r="F13" s="149">
        <v>2</v>
      </c>
      <c r="G13" s="149"/>
      <c r="H13" s="149"/>
      <c r="I13" s="149"/>
      <c r="J13" s="149">
        <v>3</v>
      </c>
      <c r="K13" s="149"/>
      <c r="L13" s="149"/>
      <c r="M13" s="149"/>
      <c r="N13" s="149">
        <v>3</v>
      </c>
      <c r="O13" s="149"/>
      <c r="P13" s="149"/>
      <c r="Q13" s="149"/>
      <c r="R13" s="149">
        <v>7</v>
      </c>
      <c r="S13" s="149"/>
      <c r="T13" s="149"/>
      <c r="U13" s="149"/>
      <c r="V13" s="149">
        <v>8</v>
      </c>
      <c r="W13" s="149"/>
      <c r="X13" s="149"/>
      <c r="Y13" s="149"/>
      <c r="Z13" s="149">
        <v>8</v>
      </c>
      <c r="AA13" s="149"/>
      <c r="AB13" s="149"/>
      <c r="AC13" s="149"/>
      <c r="AD13" s="149">
        <v>8</v>
      </c>
      <c r="AE13" s="149"/>
      <c r="AF13" s="150"/>
      <c r="AG13" s="150"/>
      <c r="AH13" s="150">
        <v>9</v>
      </c>
      <c r="AI13" s="150">
        <v>9</v>
      </c>
      <c r="AJ13" s="149">
        <v>9</v>
      </c>
      <c r="AK13" s="11">
        <f t="shared" si="0"/>
        <v>10</v>
      </c>
      <c r="AL13" s="120">
        <v>2012</v>
      </c>
      <c r="AM13" s="120">
        <v>2014</v>
      </c>
      <c r="AN13" s="120" t="s">
        <v>2461</v>
      </c>
    </row>
    <row r="14" spans="1:40">
      <c r="A14" s="3" t="s">
        <v>542</v>
      </c>
      <c r="B14" s="3" t="s">
        <v>543</v>
      </c>
      <c r="C14" s="3">
        <v>6</v>
      </c>
      <c r="D14" s="3" t="s">
        <v>759</v>
      </c>
      <c r="E14" s="117" t="s">
        <v>542</v>
      </c>
      <c r="F14" s="149">
        <v>5</v>
      </c>
      <c r="G14" s="149">
        <v>5</v>
      </c>
      <c r="H14" s="149">
        <v>5</v>
      </c>
      <c r="I14" s="149">
        <v>5</v>
      </c>
      <c r="J14" s="149">
        <v>4</v>
      </c>
      <c r="K14" s="149">
        <v>4</v>
      </c>
      <c r="L14" s="149">
        <v>4</v>
      </c>
      <c r="M14" s="149">
        <v>4</v>
      </c>
      <c r="N14" s="149">
        <v>4</v>
      </c>
      <c r="O14" s="149">
        <v>4</v>
      </c>
      <c r="P14" s="149">
        <v>4</v>
      </c>
      <c r="Q14" s="149">
        <v>4</v>
      </c>
      <c r="R14" s="149">
        <v>18</v>
      </c>
      <c r="S14" s="149">
        <v>18</v>
      </c>
      <c r="T14" s="149">
        <v>15</v>
      </c>
      <c r="U14" s="149">
        <v>15</v>
      </c>
      <c r="V14" s="149">
        <v>19</v>
      </c>
      <c r="W14" s="149">
        <v>20</v>
      </c>
      <c r="X14" s="150">
        <v>25</v>
      </c>
      <c r="Y14" s="150">
        <v>26</v>
      </c>
      <c r="Z14" s="149">
        <v>21</v>
      </c>
      <c r="AA14" s="149">
        <v>21</v>
      </c>
      <c r="AB14" s="150">
        <v>22</v>
      </c>
      <c r="AC14" s="150">
        <v>23</v>
      </c>
      <c r="AD14" s="149">
        <v>22</v>
      </c>
      <c r="AE14" s="149">
        <v>21</v>
      </c>
      <c r="AF14" s="149">
        <v>23</v>
      </c>
      <c r="AG14" s="149">
        <v>22</v>
      </c>
      <c r="AH14" s="149">
        <v>31</v>
      </c>
      <c r="AI14" s="149">
        <v>31</v>
      </c>
      <c r="AJ14" s="150">
        <v>29</v>
      </c>
      <c r="AK14" s="11">
        <f t="shared" si="0"/>
        <v>31</v>
      </c>
      <c r="AL14" s="120">
        <v>1984</v>
      </c>
      <c r="AM14" s="120">
        <v>2014</v>
      </c>
      <c r="AN14" s="120" t="s">
        <v>2462</v>
      </c>
    </row>
    <row r="15" spans="1:40">
      <c r="A15" s="3" t="s">
        <v>628</v>
      </c>
      <c r="B15" s="3" t="s">
        <v>629</v>
      </c>
      <c r="C15" s="3">
        <v>7</v>
      </c>
      <c r="D15" s="3" t="s">
        <v>641</v>
      </c>
      <c r="E15" s="117" t="s">
        <v>628</v>
      </c>
      <c r="F15" s="149">
        <v>4</v>
      </c>
      <c r="G15" s="149"/>
      <c r="H15" s="149"/>
      <c r="I15" s="149"/>
      <c r="J15" s="149"/>
      <c r="K15" s="149"/>
      <c r="L15" s="149">
        <v>1</v>
      </c>
      <c r="M15" s="149"/>
      <c r="N15" s="149">
        <v>0</v>
      </c>
      <c r="O15" s="149"/>
      <c r="P15" s="149">
        <v>2</v>
      </c>
      <c r="Q15" s="149"/>
      <c r="R15" s="149">
        <v>3</v>
      </c>
      <c r="S15" s="149"/>
      <c r="T15" s="149">
        <v>2</v>
      </c>
      <c r="U15" s="149"/>
      <c r="V15" s="149">
        <v>2</v>
      </c>
      <c r="W15" s="159" t="s">
        <v>2412</v>
      </c>
      <c r="X15" s="149"/>
      <c r="Y15" s="149"/>
      <c r="Z15" s="149">
        <v>10</v>
      </c>
      <c r="AA15" s="149">
        <v>10</v>
      </c>
      <c r="AB15" s="149">
        <v>10</v>
      </c>
      <c r="AC15" s="149">
        <v>10</v>
      </c>
      <c r="AD15" s="149">
        <v>10</v>
      </c>
      <c r="AE15" s="149">
        <v>10</v>
      </c>
      <c r="AF15" s="150">
        <v>10</v>
      </c>
      <c r="AG15" s="150">
        <v>10</v>
      </c>
      <c r="AH15" s="150">
        <v>8</v>
      </c>
      <c r="AI15" s="150">
        <v>8</v>
      </c>
      <c r="AJ15" s="149">
        <v>9</v>
      </c>
      <c r="AK15" s="11">
        <f t="shared" si="0"/>
        <v>18</v>
      </c>
      <c r="AL15" s="120">
        <v>2004</v>
      </c>
      <c r="AM15" s="120">
        <v>2014</v>
      </c>
      <c r="AN15" s="120" t="s">
        <v>2463</v>
      </c>
    </row>
    <row r="16" spans="1:40">
      <c r="A16" s="3" t="s">
        <v>630</v>
      </c>
      <c r="B16" s="3" t="s">
        <v>631</v>
      </c>
      <c r="C16" s="3">
        <v>8</v>
      </c>
      <c r="D16" s="3" t="s">
        <v>759</v>
      </c>
      <c r="E16" s="117" t="s">
        <v>630</v>
      </c>
      <c r="F16" s="149"/>
      <c r="G16" s="149"/>
      <c r="H16" s="149"/>
      <c r="I16" s="149"/>
      <c r="J16" s="149"/>
      <c r="K16" s="149"/>
      <c r="L16" s="149"/>
      <c r="M16" s="149"/>
      <c r="N16" s="149"/>
      <c r="O16" s="149"/>
      <c r="P16" s="149"/>
      <c r="Q16" s="149"/>
      <c r="R16" s="149"/>
      <c r="S16" s="149"/>
      <c r="T16" s="149"/>
      <c r="U16" s="149"/>
      <c r="V16" s="149"/>
      <c r="W16" s="149"/>
      <c r="X16" s="149">
        <v>4</v>
      </c>
      <c r="Y16" s="149">
        <v>4</v>
      </c>
      <c r="Z16" s="149">
        <v>4</v>
      </c>
      <c r="AA16" s="149">
        <v>4</v>
      </c>
      <c r="AB16" s="149">
        <v>4</v>
      </c>
      <c r="AC16" s="149">
        <v>4</v>
      </c>
      <c r="AD16" s="149">
        <v>5</v>
      </c>
      <c r="AE16" s="149">
        <v>5</v>
      </c>
      <c r="AF16" s="150">
        <v>5</v>
      </c>
      <c r="AG16" s="150">
        <v>5</v>
      </c>
      <c r="AH16" s="150">
        <v>8</v>
      </c>
      <c r="AI16" s="150">
        <v>8</v>
      </c>
      <c r="AJ16" s="149">
        <v>8</v>
      </c>
      <c r="AK16" s="11">
        <f t="shared" si="0"/>
        <v>13</v>
      </c>
      <c r="AL16" s="120">
        <v>2002</v>
      </c>
      <c r="AM16" s="120">
        <v>2014</v>
      </c>
      <c r="AN16" s="120" t="s">
        <v>2464</v>
      </c>
    </row>
    <row r="17" spans="1:40">
      <c r="A17" s="3" t="s">
        <v>632</v>
      </c>
      <c r="B17" s="3" t="s">
        <v>633</v>
      </c>
      <c r="C17" s="3">
        <v>9</v>
      </c>
      <c r="D17" s="3" t="s">
        <v>641</v>
      </c>
      <c r="E17" s="117" t="s">
        <v>632</v>
      </c>
      <c r="F17" s="149">
        <v>2</v>
      </c>
      <c r="G17" s="149">
        <v>2</v>
      </c>
      <c r="H17" s="149">
        <v>2</v>
      </c>
      <c r="I17" s="149">
        <v>2</v>
      </c>
      <c r="J17" s="149">
        <v>3</v>
      </c>
      <c r="K17" s="149">
        <v>3</v>
      </c>
      <c r="L17" s="149">
        <v>4</v>
      </c>
      <c r="M17" s="149">
        <v>5</v>
      </c>
      <c r="N17" s="149">
        <v>5</v>
      </c>
      <c r="O17" s="149">
        <v>5</v>
      </c>
      <c r="P17" s="149">
        <v>4</v>
      </c>
      <c r="Q17" s="149">
        <v>4</v>
      </c>
      <c r="R17" s="149">
        <v>3</v>
      </c>
      <c r="S17" s="149">
        <v>3</v>
      </c>
      <c r="T17" s="149">
        <v>6</v>
      </c>
      <c r="U17" s="149">
        <v>6</v>
      </c>
      <c r="V17" s="149">
        <v>11</v>
      </c>
      <c r="W17" s="149">
        <v>11</v>
      </c>
      <c r="X17" s="149">
        <v>11</v>
      </c>
      <c r="Y17" s="149">
        <v>11</v>
      </c>
      <c r="Z17" s="149">
        <v>10</v>
      </c>
      <c r="AA17" s="149">
        <v>10</v>
      </c>
      <c r="AB17" s="149">
        <v>11</v>
      </c>
      <c r="AC17" s="149">
        <v>11</v>
      </c>
      <c r="AD17" s="149">
        <v>11</v>
      </c>
      <c r="AE17" s="149">
        <v>11</v>
      </c>
      <c r="AF17" s="150">
        <v>9</v>
      </c>
      <c r="AG17" s="150">
        <v>9</v>
      </c>
      <c r="AH17" s="150">
        <v>9</v>
      </c>
      <c r="AI17" s="150">
        <v>9</v>
      </c>
      <c r="AJ17" s="149">
        <v>10</v>
      </c>
      <c r="AK17" s="11">
        <f t="shared" si="0"/>
        <v>31</v>
      </c>
      <c r="AL17" s="120">
        <v>1984</v>
      </c>
      <c r="AM17" s="120">
        <v>2014</v>
      </c>
      <c r="AN17" s="120" t="s">
        <v>2465</v>
      </c>
    </row>
    <row r="18" spans="1:40">
      <c r="A18" s="3" t="s">
        <v>634</v>
      </c>
      <c r="B18" s="3" t="s">
        <v>715</v>
      </c>
      <c r="C18" s="3">
        <v>10</v>
      </c>
      <c r="D18" s="3" t="s">
        <v>664</v>
      </c>
      <c r="E18" s="117" t="s">
        <v>634</v>
      </c>
      <c r="F18" s="149">
        <v>1</v>
      </c>
      <c r="G18" s="149">
        <v>1</v>
      </c>
      <c r="H18" s="149">
        <v>1</v>
      </c>
      <c r="I18" s="149">
        <v>1</v>
      </c>
      <c r="J18" s="149">
        <v>4</v>
      </c>
      <c r="K18" s="149">
        <v>4</v>
      </c>
      <c r="L18" s="149">
        <v>6</v>
      </c>
      <c r="M18" s="149">
        <v>6</v>
      </c>
      <c r="N18" s="149">
        <v>6</v>
      </c>
      <c r="O18" s="149">
        <v>6</v>
      </c>
      <c r="P18" s="149">
        <v>10</v>
      </c>
      <c r="Q18" s="149">
        <v>10</v>
      </c>
      <c r="R18" s="149">
        <v>13</v>
      </c>
      <c r="S18" s="149">
        <v>13</v>
      </c>
      <c r="T18" s="149">
        <v>12</v>
      </c>
      <c r="U18" s="149">
        <v>12</v>
      </c>
      <c r="V18" s="149">
        <v>10</v>
      </c>
      <c r="W18" s="149">
        <v>10</v>
      </c>
      <c r="X18" s="149">
        <v>12</v>
      </c>
      <c r="Y18" s="149">
        <v>12</v>
      </c>
      <c r="Z18" s="149">
        <v>13</v>
      </c>
      <c r="AA18" s="149">
        <v>13</v>
      </c>
      <c r="AB18" s="149">
        <v>13</v>
      </c>
      <c r="AC18" s="149">
        <v>13</v>
      </c>
      <c r="AD18" s="149">
        <v>12</v>
      </c>
      <c r="AE18" s="149">
        <v>12</v>
      </c>
      <c r="AF18" s="150">
        <v>15</v>
      </c>
      <c r="AG18" s="150">
        <v>15</v>
      </c>
      <c r="AH18" s="150">
        <v>16</v>
      </c>
      <c r="AI18" s="150">
        <v>16</v>
      </c>
      <c r="AJ18" s="149">
        <v>17</v>
      </c>
      <c r="AK18" s="11">
        <f t="shared" si="0"/>
        <v>31</v>
      </c>
      <c r="AL18" s="120">
        <v>1984</v>
      </c>
      <c r="AM18" s="120">
        <v>2014</v>
      </c>
      <c r="AN18" s="120" t="s">
        <v>2466</v>
      </c>
    </row>
    <row r="19" spans="1:40">
      <c r="A19" s="3" t="s">
        <v>716</v>
      </c>
      <c r="B19" s="3" t="s">
        <v>717</v>
      </c>
      <c r="C19" s="3">
        <v>11</v>
      </c>
      <c r="D19" s="3" t="s">
        <v>541</v>
      </c>
      <c r="E19" s="117" t="s">
        <v>716</v>
      </c>
      <c r="F19" s="149">
        <v>1</v>
      </c>
      <c r="G19" s="149">
        <v>1</v>
      </c>
      <c r="H19" s="149">
        <v>1</v>
      </c>
      <c r="I19" s="149">
        <v>1</v>
      </c>
      <c r="J19" s="149">
        <v>2</v>
      </c>
      <c r="K19" s="149">
        <v>2</v>
      </c>
      <c r="L19" s="149">
        <v>2</v>
      </c>
      <c r="M19" s="149">
        <v>2</v>
      </c>
      <c r="N19" s="149">
        <v>2</v>
      </c>
      <c r="O19" s="149">
        <v>2</v>
      </c>
      <c r="P19" s="149">
        <v>2</v>
      </c>
      <c r="Q19" s="149">
        <v>2</v>
      </c>
      <c r="R19" s="149">
        <v>7</v>
      </c>
      <c r="S19" s="149">
        <v>7</v>
      </c>
      <c r="T19" s="149">
        <v>7</v>
      </c>
      <c r="U19" s="149">
        <v>7</v>
      </c>
      <c r="V19" s="149">
        <v>7</v>
      </c>
      <c r="W19" s="149">
        <v>7</v>
      </c>
      <c r="X19" s="149">
        <v>7</v>
      </c>
      <c r="Y19" s="149">
        <v>7</v>
      </c>
      <c r="Z19" s="149">
        <v>9</v>
      </c>
      <c r="AA19" s="149">
        <v>9</v>
      </c>
      <c r="AB19" s="149">
        <v>9</v>
      </c>
      <c r="AC19" s="149">
        <v>9</v>
      </c>
      <c r="AD19" s="149">
        <v>7</v>
      </c>
      <c r="AE19" s="149">
        <v>7</v>
      </c>
      <c r="AF19" s="150">
        <v>7</v>
      </c>
      <c r="AG19" s="150">
        <v>7</v>
      </c>
      <c r="AH19" s="150">
        <v>9</v>
      </c>
      <c r="AI19" s="150">
        <v>9</v>
      </c>
      <c r="AJ19" s="149">
        <v>9</v>
      </c>
      <c r="AK19" s="11">
        <f t="shared" si="0"/>
        <v>31</v>
      </c>
      <c r="AL19" s="120">
        <v>1984</v>
      </c>
      <c r="AM19" s="120">
        <v>2014</v>
      </c>
      <c r="AN19" s="120" t="s">
        <v>2467</v>
      </c>
    </row>
    <row r="20" spans="1:40">
      <c r="A20" s="3" t="s">
        <v>718</v>
      </c>
      <c r="B20" s="3" t="s">
        <v>719</v>
      </c>
      <c r="C20" s="3">
        <v>12</v>
      </c>
      <c r="D20" s="3" t="s">
        <v>664</v>
      </c>
      <c r="E20" s="117" t="s">
        <v>718</v>
      </c>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0">
        <v>8</v>
      </c>
      <c r="AG20" s="150"/>
      <c r="AH20" s="150">
        <v>11</v>
      </c>
      <c r="AI20" s="150"/>
      <c r="AJ20" s="149">
        <v>10</v>
      </c>
      <c r="AK20" s="11">
        <f t="shared" si="0"/>
        <v>3</v>
      </c>
      <c r="AL20" s="120"/>
      <c r="AM20" s="120"/>
      <c r="AN20" s="120" t="s">
        <v>2468</v>
      </c>
    </row>
    <row r="21" spans="1:40">
      <c r="A21" s="3" t="s">
        <v>711</v>
      </c>
      <c r="B21" s="3" t="s">
        <v>712</v>
      </c>
      <c r="C21" s="3">
        <v>13</v>
      </c>
      <c r="D21" s="3" t="s">
        <v>713</v>
      </c>
      <c r="E21" s="117" t="s">
        <v>711</v>
      </c>
      <c r="F21" s="149"/>
      <c r="G21" s="149"/>
      <c r="H21" s="149"/>
      <c r="I21" s="149"/>
      <c r="J21" s="149"/>
      <c r="K21" s="149"/>
      <c r="L21" s="149"/>
      <c r="M21" s="149"/>
      <c r="N21" s="149"/>
      <c r="O21" s="149"/>
      <c r="P21" s="149"/>
      <c r="Q21" s="149"/>
      <c r="R21" s="149"/>
      <c r="S21" s="149"/>
      <c r="T21" s="149"/>
      <c r="U21" s="149"/>
      <c r="V21" s="149"/>
      <c r="W21" s="149"/>
      <c r="X21" s="149"/>
      <c r="Y21" s="149">
        <v>7</v>
      </c>
      <c r="Z21" s="149">
        <v>9</v>
      </c>
      <c r="AA21" s="149">
        <v>10</v>
      </c>
      <c r="AB21" s="149">
        <v>11</v>
      </c>
      <c r="AC21" s="149">
        <v>11</v>
      </c>
      <c r="AD21" s="149">
        <v>11</v>
      </c>
      <c r="AE21" s="149">
        <v>12</v>
      </c>
      <c r="AF21" s="150">
        <v>14</v>
      </c>
      <c r="AG21" s="150">
        <v>14</v>
      </c>
      <c r="AH21" s="150">
        <v>15</v>
      </c>
      <c r="AI21" s="150">
        <v>15</v>
      </c>
      <c r="AJ21" s="149">
        <v>14</v>
      </c>
      <c r="AK21" s="11">
        <f t="shared" si="0"/>
        <v>12</v>
      </c>
      <c r="AL21" s="120">
        <v>2003</v>
      </c>
      <c r="AM21" s="120">
        <v>2014</v>
      </c>
      <c r="AN21" s="120" t="s">
        <v>2469</v>
      </c>
    </row>
    <row r="22" spans="1:40">
      <c r="A22" s="3" t="s">
        <v>714</v>
      </c>
      <c r="B22" s="3" t="s">
        <v>530</v>
      </c>
      <c r="C22" s="3">
        <v>14</v>
      </c>
      <c r="D22" s="3" t="s">
        <v>641</v>
      </c>
      <c r="E22" s="117" t="s">
        <v>714</v>
      </c>
      <c r="F22" s="149">
        <v>5</v>
      </c>
      <c r="G22" s="149">
        <v>5</v>
      </c>
      <c r="H22" s="149">
        <v>5</v>
      </c>
      <c r="I22" s="149">
        <v>4</v>
      </c>
      <c r="J22" s="149">
        <v>3</v>
      </c>
      <c r="K22" s="149">
        <v>3</v>
      </c>
      <c r="L22" s="149">
        <v>5</v>
      </c>
      <c r="M22" s="149">
        <v>5</v>
      </c>
      <c r="N22" s="149">
        <v>6</v>
      </c>
      <c r="O22" s="149">
        <v>6</v>
      </c>
      <c r="P22" s="149">
        <v>10</v>
      </c>
      <c r="Q22" s="149">
        <v>10</v>
      </c>
      <c r="R22" s="149">
        <v>11</v>
      </c>
      <c r="S22" s="149">
        <v>11</v>
      </c>
      <c r="T22" s="149">
        <v>12</v>
      </c>
      <c r="U22" s="149">
        <v>12</v>
      </c>
      <c r="V22" s="149">
        <v>12</v>
      </c>
      <c r="W22" s="149">
        <v>12</v>
      </c>
      <c r="X22" s="149">
        <v>12</v>
      </c>
      <c r="Y22" s="149">
        <v>12</v>
      </c>
      <c r="Z22" s="149">
        <v>9</v>
      </c>
      <c r="AA22" s="149">
        <v>9</v>
      </c>
      <c r="AB22" s="149">
        <v>10</v>
      </c>
      <c r="AC22" s="149">
        <v>10</v>
      </c>
      <c r="AD22" s="149">
        <v>12</v>
      </c>
      <c r="AE22" s="149">
        <v>12</v>
      </c>
      <c r="AF22" s="150">
        <v>9</v>
      </c>
      <c r="AG22" s="150">
        <v>10</v>
      </c>
      <c r="AH22" s="150">
        <v>12</v>
      </c>
      <c r="AI22" s="150">
        <v>12</v>
      </c>
      <c r="AJ22" s="149">
        <v>12</v>
      </c>
      <c r="AK22" s="11">
        <f t="shared" si="0"/>
        <v>31</v>
      </c>
      <c r="AL22" s="120">
        <v>1984</v>
      </c>
      <c r="AM22" s="120">
        <v>2014</v>
      </c>
      <c r="AN22" s="120" t="s">
        <v>2470</v>
      </c>
    </row>
    <row r="23" spans="1:40">
      <c r="A23" s="3" t="s">
        <v>620</v>
      </c>
      <c r="B23" s="3" t="s">
        <v>621</v>
      </c>
      <c r="C23" s="3">
        <v>15</v>
      </c>
      <c r="D23" s="3" t="s">
        <v>541</v>
      </c>
      <c r="E23" s="117" t="s">
        <v>620</v>
      </c>
      <c r="F23" s="149"/>
      <c r="G23" s="149"/>
      <c r="H23" s="149"/>
      <c r="I23" s="149"/>
      <c r="J23" s="149"/>
      <c r="K23" s="149"/>
      <c r="L23" s="149"/>
      <c r="M23" s="149"/>
      <c r="N23" s="149"/>
      <c r="O23" s="149"/>
      <c r="P23" s="149"/>
      <c r="Q23" s="149"/>
      <c r="R23" s="149"/>
      <c r="S23" s="149"/>
      <c r="T23" s="149">
        <v>11</v>
      </c>
      <c r="U23" s="149">
        <v>11</v>
      </c>
      <c r="V23" s="149">
        <v>11</v>
      </c>
      <c r="W23" s="149">
        <v>11</v>
      </c>
      <c r="X23" s="149">
        <v>10</v>
      </c>
      <c r="Y23" s="149">
        <v>10</v>
      </c>
      <c r="Z23" s="149">
        <v>10</v>
      </c>
      <c r="AA23" s="149">
        <v>10</v>
      </c>
      <c r="AB23" s="149">
        <v>10</v>
      </c>
      <c r="AC23" s="149">
        <v>10</v>
      </c>
      <c r="AD23" s="149">
        <v>11</v>
      </c>
      <c r="AE23" s="149">
        <v>11</v>
      </c>
      <c r="AF23" s="150">
        <v>11</v>
      </c>
      <c r="AG23" s="150">
        <v>10</v>
      </c>
      <c r="AH23" s="150">
        <v>9</v>
      </c>
      <c r="AI23" s="150">
        <v>8</v>
      </c>
      <c r="AJ23" s="149">
        <v>9</v>
      </c>
      <c r="AK23" s="11">
        <f t="shared" si="0"/>
        <v>17</v>
      </c>
      <c r="AL23" s="120">
        <v>1998</v>
      </c>
      <c r="AM23" s="120">
        <v>2014</v>
      </c>
      <c r="AN23" s="120" t="s">
        <v>2471</v>
      </c>
    </row>
    <row r="24" spans="1:40">
      <c r="A24" s="3" t="s">
        <v>622</v>
      </c>
      <c r="B24" s="3" t="s">
        <v>925</v>
      </c>
      <c r="C24" s="3">
        <v>16</v>
      </c>
      <c r="D24" s="3" t="s">
        <v>541</v>
      </c>
      <c r="E24" s="117" t="s">
        <v>622</v>
      </c>
      <c r="F24" s="149"/>
      <c r="G24" s="149"/>
      <c r="H24" s="149"/>
      <c r="I24" s="149"/>
      <c r="J24" s="149"/>
      <c r="K24" s="149"/>
      <c r="L24" s="149"/>
      <c r="M24" s="149"/>
      <c r="N24" s="149"/>
      <c r="O24" s="149"/>
      <c r="P24" s="149">
        <v>7</v>
      </c>
      <c r="Q24" s="149"/>
      <c r="R24" s="149"/>
      <c r="S24" s="149"/>
      <c r="T24" s="149"/>
      <c r="U24" s="149"/>
      <c r="V24" s="149">
        <v>10</v>
      </c>
      <c r="W24" s="149">
        <v>10</v>
      </c>
      <c r="X24" s="149">
        <v>10</v>
      </c>
      <c r="Y24" s="149">
        <v>10</v>
      </c>
      <c r="Z24" s="149">
        <v>16</v>
      </c>
      <c r="AA24" s="149">
        <v>16</v>
      </c>
      <c r="AB24" s="149">
        <v>16</v>
      </c>
      <c r="AC24" s="149">
        <v>15</v>
      </c>
      <c r="AD24" s="149">
        <v>17</v>
      </c>
      <c r="AE24" s="149">
        <v>17</v>
      </c>
      <c r="AF24" s="149">
        <v>18</v>
      </c>
      <c r="AG24" s="149">
        <v>18</v>
      </c>
      <c r="AH24" s="150">
        <v>18</v>
      </c>
      <c r="AI24" s="150">
        <v>19</v>
      </c>
      <c r="AJ24" s="149">
        <v>18</v>
      </c>
      <c r="AK24" s="11">
        <f t="shared" si="0"/>
        <v>16</v>
      </c>
      <c r="AL24" s="120">
        <v>2000</v>
      </c>
      <c r="AM24" s="120">
        <v>2014</v>
      </c>
      <c r="AN24" s="120" t="s">
        <v>2472</v>
      </c>
    </row>
    <row r="25" spans="1:40">
      <c r="A25" s="3" t="s">
        <v>926</v>
      </c>
      <c r="B25" s="3" t="s">
        <v>927</v>
      </c>
      <c r="C25" s="3">
        <v>17</v>
      </c>
      <c r="D25" s="3" t="s">
        <v>664</v>
      </c>
      <c r="E25" s="117" t="s">
        <v>926</v>
      </c>
      <c r="F25" s="149"/>
      <c r="G25" s="160"/>
      <c r="H25" s="149"/>
      <c r="I25" s="160"/>
      <c r="J25" s="149"/>
      <c r="K25" s="160"/>
      <c r="L25" s="149"/>
      <c r="M25" s="160"/>
      <c r="N25" s="149"/>
      <c r="O25" s="160"/>
      <c r="P25" s="149"/>
      <c r="Q25" s="160"/>
      <c r="R25" s="149"/>
      <c r="S25" s="160"/>
      <c r="T25" s="149"/>
      <c r="U25" s="160"/>
      <c r="V25" s="149"/>
      <c r="W25" s="160"/>
      <c r="X25" s="149"/>
      <c r="Y25" s="160"/>
      <c r="Z25" s="149"/>
      <c r="AA25" s="160"/>
      <c r="AB25" s="149"/>
      <c r="AC25" s="160"/>
      <c r="AD25" s="149">
        <v>16</v>
      </c>
      <c r="AE25" s="149"/>
      <c r="AF25" s="150">
        <v>12</v>
      </c>
      <c r="AG25" s="150"/>
      <c r="AH25" s="150">
        <v>11</v>
      </c>
      <c r="AI25" s="150">
        <v>12</v>
      </c>
      <c r="AJ25" s="150">
        <v>14</v>
      </c>
      <c r="AK25" s="11">
        <f t="shared" si="0"/>
        <v>5</v>
      </c>
      <c r="AL25" s="120"/>
      <c r="AM25" s="120"/>
      <c r="AN25" s="120" t="s">
        <v>2473</v>
      </c>
    </row>
    <row r="26" spans="1:40">
      <c r="A26" s="3" t="s">
        <v>928</v>
      </c>
      <c r="B26" s="3" t="s">
        <v>929</v>
      </c>
      <c r="C26" s="3">
        <v>18</v>
      </c>
      <c r="D26" s="3" t="s">
        <v>713</v>
      </c>
      <c r="E26" s="117" t="s">
        <v>928</v>
      </c>
      <c r="F26" s="149">
        <v>4</v>
      </c>
      <c r="G26" s="149">
        <v>4</v>
      </c>
      <c r="H26" s="149">
        <v>2</v>
      </c>
      <c r="I26" s="149">
        <v>2</v>
      </c>
      <c r="J26" s="149">
        <v>0</v>
      </c>
      <c r="K26" s="149">
        <v>0</v>
      </c>
      <c r="L26" s="149">
        <v>0</v>
      </c>
      <c r="M26" s="149">
        <v>0</v>
      </c>
      <c r="N26" s="149">
        <v>7</v>
      </c>
      <c r="O26" s="149">
        <v>7</v>
      </c>
      <c r="P26" s="149">
        <v>7</v>
      </c>
      <c r="Q26" s="149">
        <v>7</v>
      </c>
      <c r="R26" s="149">
        <v>6</v>
      </c>
      <c r="S26" s="149">
        <v>6</v>
      </c>
      <c r="T26" s="149">
        <v>6</v>
      </c>
      <c r="U26" s="149">
        <v>6</v>
      </c>
      <c r="V26" s="149">
        <v>5</v>
      </c>
      <c r="W26" s="149">
        <v>5</v>
      </c>
      <c r="X26" s="149">
        <v>5</v>
      </c>
      <c r="Y26" s="149">
        <v>6</v>
      </c>
      <c r="Z26" s="149">
        <v>5</v>
      </c>
      <c r="AA26" s="149">
        <v>5</v>
      </c>
      <c r="AB26" s="149">
        <v>4</v>
      </c>
      <c r="AC26" s="149">
        <v>4</v>
      </c>
      <c r="AD26" s="149">
        <v>4</v>
      </c>
      <c r="AE26" s="149">
        <v>5</v>
      </c>
      <c r="AF26" s="150">
        <v>5</v>
      </c>
      <c r="AG26" s="150">
        <v>5</v>
      </c>
      <c r="AH26" s="150">
        <v>7</v>
      </c>
      <c r="AI26" s="150">
        <v>8</v>
      </c>
      <c r="AJ26" s="149">
        <v>8</v>
      </c>
      <c r="AK26" s="11">
        <f t="shared" si="0"/>
        <v>31</v>
      </c>
      <c r="AL26" s="120">
        <v>1984</v>
      </c>
      <c r="AM26" s="120">
        <v>2014</v>
      </c>
      <c r="AN26" s="120" t="s">
        <v>2474</v>
      </c>
    </row>
    <row r="27" spans="1:40">
      <c r="A27" s="3" t="s">
        <v>841</v>
      </c>
      <c r="B27" s="3" t="s">
        <v>659</v>
      </c>
      <c r="C27" s="3">
        <v>19</v>
      </c>
      <c r="D27" s="3" t="s">
        <v>713</v>
      </c>
      <c r="E27" s="117" t="s">
        <v>841</v>
      </c>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v>15</v>
      </c>
      <c r="AE27" s="149">
        <v>15</v>
      </c>
      <c r="AF27" s="150">
        <v>9</v>
      </c>
      <c r="AG27" s="150">
        <v>9</v>
      </c>
      <c r="AH27" s="150">
        <v>8</v>
      </c>
      <c r="AI27" s="150">
        <v>9</v>
      </c>
      <c r="AJ27" s="149">
        <v>12</v>
      </c>
      <c r="AK27" s="11">
        <f t="shared" si="0"/>
        <v>7</v>
      </c>
      <c r="AL27" s="120">
        <v>2008</v>
      </c>
      <c r="AM27" s="120">
        <v>2014</v>
      </c>
      <c r="AN27" s="120" t="s">
        <v>2475</v>
      </c>
    </row>
    <row r="28" spans="1:40">
      <c r="A28" s="3" t="s">
        <v>660</v>
      </c>
      <c r="B28" s="3" t="s">
        <v>661</v>
      </c>
      <c r="C28" s="3">
        <v>20</v>
      </c>
      <c r="D28" s="3" t="s">
        <v>541</v>
      </c>
      <c r="E28" s="117" t="s">
        <v>660</v>
      </c>
      <c r="F28" s="149">
        <v>0</v>
      </c>
      <c r="G28" s="149">
        <v>0</v>
      </c>
      <c r="H28" s="149"/>
      <c r="I28" s="149"/>
      <c r="J28" s="149"/>
      <c r="K28" s="149"/>
      <c r="L28" s="149">
        <v>3</v>
      </c>
      <c r="M28" s="149">
        <v>3</v>
      </c>
      <c r="N28" s="149">
        <v>3</v>
      </c>
      <c r="O28" s="149">
        <v>3</v>
      </c>
      <c r="P28" s="149">
        <v>5</v>
      </c>
      <c r="Q28" s="149">
        <v>5</v>
      </c>
      <c r="R28" s="149"/>
      <c r="S28" s="149"/>
      <c r="T28" s="149"/>
      <c r="U28" s="149"/>
      <c r="V28" s="149">
        <v>1</v>
      </c>
      <c r="W28" s="149">
        <v>1</v>
      </c>
      <c r="X28" s="149">
        <v>1</v>
      </c>
      <c r="Y28" s="149">
        <v>1</v>
      </c>
      <c r="Z28" s="149">
        <v>3</v>
      </c>
      <c r="AA28" s="149">
        <v>3</v>
      </c>
      <c r="AB28" s="149">
        <v>4</v>
      </c>
      <c r="AC28" s="149">
        <v>4</v>
      </c>
      <c r="AD28" s="149">
        <v>5</v>
      </c>
      <c r="AE28" s="149">
        <v>5</v>
      </c>
      <c r="AF28" s="150">
        <v>5</v>
      </c>
      <c r="AG28" s="150">
        <v>4</v>
      </c>
      <c r="AH28" s="150">
        <v>4</v>
      </c>
      <c r="AI28" s="150">
        <v>4</v>
      </c>
      <c r="AJ28" s="150">
        <v>4</v>
      </c>
      <c r="AK28" s="11">
        <f t="shared" si="0"/>
        <v>23</v>
      </c>
      <c r="AL28" s="120">
        <v>1998</v>
      </c>
      <c r="AM28" s="120">
        <v>2014</v>
      </c>
      <c r="AN28" s="120" t="s">
        <v>2476</v>
      </c>
    </row>
    <row r="29" spans="1:40">
      <c r="A29" s="3" t="s">
        <v>80</v>
      </c>
      <c r="B29" s="3" t="s">
        <v>747</v>
      </c>
      <c r="C29" s="3">
        <v>21</v>
      </c>
      <c r="D29" s="3" t="s">
        <v>759</v>
      </c>
      <c r="E29" s="117" t="s">
        <v>2477</v>
      </c>
      <c r="F29" s="149"/>
      <c r="G29" s="149"/>
      <c r="H29" s="149"/>
      <c r="I29" s="149"/>
      <c r="J29" s="149"/>
      <c r="K29" s="149"/>
      <c r="L29" s="149"/>
      <c r="M29" s="149"/>
      <c r="N29" s="149"/>
      <c r="O29" s="149"/>
      <c r="P29" s="149"/>
      <c r="Q29" s="149"/>
      <c r="R29" s="149"/>
      <c r="S29" s="149"/>
      <c r="T29" s="149"/>
      <c r="U29" s="149"/>
      <c r="V29" s="149"/>
      <c r="W29" s="149"/>
      <c r="X29" s="149"/>
      <c r="Y29" s="149"/>
      <c r="Z29" s="149"/>
      <c r="AA29" s="149"/>
      <c r="AB29" s="149">
        <v>17</v>
      </c>
      <c r="AC29" s="149">
        <v>17</v>
      </c>
      <c r="AD29" s="149">
        <v>16</v>
      </c>
      <c r="AE29" s="149">
        <v>16</v>
      </c>
      <c r="AF29" s="150">
        <v>16</v>
      </c>
      <c r="AG29" s="150">
        <v>16</v>
      </c>
      <c r="AH29" s="150">
        <v>17</v>
      </c>
      <c r="AI29" s="150">
        <v>16</v>
      </c>
      <c r="AJ29" s="149">
        <v>16</v>
      </c>
      <c r="AK29" s="11">
        <f t="shared" si="0"/>
        <v>9</v>
      </c>
      <c r="AL29" s="120">
        <v>2006</v>
      </c>
      <c r="AM29" s="120">
        <v>2014</v>
      </c>
      <c r="AN29" s="120" t="s">
        <v>2478</v>
      </c>
    </row>
    <row r="30" spans="1:40">
      <c r="A30" s="3" t="s">
        <v>721</v>
      </c>
      <c r="B30" s="3" t="s">
        <v>722</v>
      </c>
      <c r="C30" s="3">
        <v>22</v>
      </c>
      <c r="D30" s="3" t="s">
        <v>664</v>
      </c>
      <c r="E30" s="117" t="s">
        <v>721</v>
      </c>
      <c r="F30" s="123"/>
      <c r="G30" s="123"/>
      <c r="H30" s="123"/>
      <c r="I30" s="123"/>
      <c r="J30" s="123"/>
      <c r="K30" s="123"/>
      <c r="L30" s="123"/>
      <c r="M30" s="123"/>
      <c r="N30" s="123"/>
      <c r="O30" s="123"/>
      <c r="P30" s="159" t="s">
        <v>2412</v>
      </c>
      <c r="Q30" s="159" t="s">
        <v>2412</v>
      </c>
      <c r="R30" s="123"/>
      <c r="S30" s="123"/>
      <c r="T30" s="123"/>
      <c r="U30" s="123"/>
      <c r="V30" s="123"/>
      <c r="W30" s="123"/>
      <c r="X30" s="123"/>
      <c r="Y30" s="123"/>
      <c r="Z30" s="159" t="s">
        <v>2412</v>
      </c>
      <c r="AA30" s="123"/>
      <c r="AB30" s="123"/>
      <c r="AC30" s="123"/>
      <c r="AD30" s="129"/>
      <c r="AE30" s="150">
        <v>20</v>
      </c>
      <c r="AF30" s="150">
        <v>20</v>
      </c>
      <c r="AG30" s="150">
        <v>20</v>
      </c>
      <c r="AH30" s="150">
        <v>20</v>
      </c>
      <c r="AI30" s="150">
        <v>20</v>
      </c>
      <c r="AJ30" s="149">
        <v>17</v>
      </c>
      <c r="AK30" s="11">
        <f t="shared" si="0"/>
        <v>6</v>
      </c>
      <c r="AL30" s="120">
        <v>2009</v>
      </c>
      <c r="AM30" s="120">
        <v>2014</v>
      </c>
      <c r="AN30" s="120" t="s">
        <v>2520</v>
      </c>
    </row>
    <row r="31" spans="1:40">
      <c r="A31" s="3" t="s">
        <v>723</v>
      </c>
      <c r="B31" s="3" t="s">
        <v>724</v>
      </c>
      <c r="C31" s="3">
        <v>23</v>
      </c>
      <c r="D31" s="3" t="s">
        <v>541</v>
      </c>
      <c r="E31" s="117" t="s">
        <v>723</v>
      </c>
      <c r="F31" s="149">
        <v>1</v>
      </c>
      <c r="G31" s="149"/>
      <c r="H31" s="149"/>
      <c r="I31" s="149"/>
      <c r="J31" s="149"/>
      <c r="K31" s="149"/>
      <c r="L31" s="149">
        <v>3</v>
      </c>
      <c r="M31" s="149">
        <v>4</v>
      </c>
      <c r="N31" s="149">
        <v>5</v>
      </c>
      <c r="O31" s="149">
        <v>5</v>
      </c>
      <c r="P31" s="149">
        <v>5</v>
      </c>
      <c r="Q31" s="149">
        <v>5</v>
      </c>
      <c r="R31" s="149">
        <v>2</v>
      </c>
      <c r="S31" s="149">
        <v>2</v>
      </c>
      <c r="T31" s="149">
        <v>2</v>
      </c>
      <c r="U31" s="150">
        <v>3</v>
      </c>
      <c r="V31" s="149">
        <v>5</v>
      </c>
      <c r="W31" s="149">
        <v>5</v>
      </c>
      <c r="X31" s="149">
        <v>5</v>
      </c>
      <c r="Y31" s="149">
        <v>5</v>
      </c>
      <c r="Z31" s="149">
        <v>5</v>
      </c>
      <c r="AA31" s="149">
        <v>5</v>
      </c>
      <c r="AB31" s="149">
        <v>5</v>
      </c>
      <c r="AC31" s="149">
        <v>5</v>
      </c>
      <c r="AD31" s="149">
        <v>4</v>
      </c>
      <c r="AE31" s="149">
        <v>4</v>
      </c>
      <c r="AF31" s="150">
        <v>4</v>
      </c>
      <c r="AG31" s="150">
        <v>4</v>
      </c>
      <c r="AH31" s="150">
        <v>6</v>
      </c>
      <c r="AI31" s="150">
        <v>6</v>
      </c>
      <c r="AJ31" s="149">
        <v>6</v>
      </c>
      <c r="AK31" s="11">
        <f t="shared" si="0"/>
        <v>26</v>
      </c>
      <c r="AL31" s="120">
        <v>1990</v>
      </c>
      <c r="AM31" s="120">
        <v>2014</v>
      </c>
      <c r="AN31" s="120" t="s">
        <v>2480</v>
      </c>
    </row>
    <row r="32" spans="1:40">
      <c r="A32" s="3" t="s">
        <v>725</v>
      </c>
      <c r="B32" s="3" t="s">
        <v>726</v>
      </c>
      <c r="C32" s="3">
        <v>24</v>
      </c>
      <c r="D32" s="3" t="s">
        <v>664</v>
      </c>
      <c r="E32" s="117" t="s">
        <v>725</v>
      </c>
      <c r="F32" s="149"/>
      <c r="G32" s="149"/>
      <c r="H32" s="149"/>
      <c r="I32" s="149"/>
      <c r="J32" s="149"/>
      <c r="K32" s="149"/>
      <c r="L32" s="149"/>
      <c r="M32" s="159" t="s">
        <v>2412</v>
      </c>
      <c r="N32" s="149"/>
      <c r="O32" s="149"/>
      <c r="P32" s="149"/>
      <c r="Q32" s="149"/>
      <c r="R32" s="149"/>
      <c r="S32" s="149"/>
      <c r="T32" s="149"/>
      <c r="U32" s="149"/>
      <c r="V32" s="149"/>
      <c r="W32" s="149"/>
      <c r="X32" s="149"/>
      <c r="Y32" s="149"/>
      <c r="Z32" s="149">
        <v>6</v>
      </c>
      <c r="AA32" s="149">
        <v>6</v>
      </c>
      <c r="AB32" s="149">
        <v>6</v>
      </c>
      <c r="AC32" s="149">
        <v>6</v>
      </c>
      <c r="AD32" s="149">
        <v>12</v>
      </c>
      <c r="AE32" s="149">
        <v>14</v>
      </c>
      <c r="AF32" s="150">
        <v>13</v>
      </c>
      <c r="AG32" s="150">
        <v>13</v>
      </c>
      <c r="AH32" s="150">
        <v>11</v>
      </c>
      <c r="AI32" s="150">
        <v>12</v>
      </c>
      <c r="AJ32" s="149">
        <v>11</v>
      </c>
      <c r="AK32" s="11">
        <f t="shared" si="0"/>
        <v>11</v>
      </c>
      <c r="AL32" s="120">
        <v>2004</v>
      </c>
      <c r="AM32" s="120">
        <v>2014</v>
      </c>
      <c r="AN32" s="120" t="s">
        <v>2481</v>
      </c>
    </row>
    <row r="33" spans="1:40">
      <c r="E33" s="117" t="s">
        <v>2482</v>
      </c>
      <c r="F33" s="125">
        <f t="shared" ref="F33:AJ33" si="1">COUNTA(F9:F32)</f>
        <v>12</v>
      </c>
      <c r="G33" s="125">
        <f t="shared" si="1"/>
        <v>8</v>
      </c>
      <c r="H33" s="125">
        <f t="shared" si="1"/>
        <v>8</v>
      </c>
      <c r="I33" s="125">
        <f t="shared" si="1"/>
        <v>7</v>
      </c>
      <c r="J33" s="125">
        <f t="shared" si="1"/>
        <v>9</v>
      </c>
      <c r="K33" s="125">
        <f t="shared" si="1"/>
        <v>7</v>
      </c>
      <c r="L33" s="125">
        <f t="shared" si="1"/>
        <v>11</v>
      </c>
      <c r="M33" s="125">
        <f t="shared" si="1"/>
        <v>10</v>
      </c>
      <c r="N33" s="125">
        <f t="shared" si="1"/>
        <v>12</v>
      </c>
      <c r="O33" s="125">
        <f t="shared" si="1"/>
        <v>9</v>
      </c>
      <c r="P33" s="125">
        <f t="shared" si="1"/>
        <v>13</v>
      </c>
      <c r="Q33" s="125">
        <f t="shared" si="1"/>
        <v>10</v>
      </c>
      <c r="R33" s="125">
        <f t="shared" si="1"/>
        <v>11</v>
      </c>
      <c r="S33" s="125">
        <f t="shared" si="1"/>
        <v>8</v>
      </c>
      <c r="T33" s="125">
        <f t="shared" si="1"/>
        <v>12</v>
      </c>
      <c r="U33" s="125">
        <f t="shared" si="1"/>
        <v>10</v>
      </c>
      <c r="V33" s="125">
        <f t="shared" si="1"/>
        <v>15</v>
      </c>
      <c r="W33" s="125">
        <f t="shared" si="1"/>
        <v>14</v>
      </c>
      <c r="X33" s="125">
        <f t="shared" si="1"/>
        <v>14</v>
      </c>
      <c r="Y33" s="125">
        <f t="shared" si="1"/>
        <v>15</v>
      </c>
      <c r="Z33" s="125">
        <f t="shared" si="1"/>
        <v>20</v>
      </c>
      <c r="AA33" s="125">
        <f t="shared" si="1"/>
        <v>18</v>
      </c>
      <c r="AB33" s="125">
        <f t="shared" si="1"/>
        <v>18</v>
      </c>
      <c r="AC33" s="125">
        <f t="shared" si="1"/>
        <v>18</v>
      </c>
      <c r="AD33" s="125">
        <f t="shared" si="1"/>
        <v>21</v>
      </c>
      <c r="AE33" s="125">
        <f t="shared" si="1"/>
        <v>20</v>
      </c>
      <c r="AF33" s="125">
        <f t="shared" si="1"/>
        <v>23</v>
      </c>
      <c r="AG33" s="125">
        <f t="shared" si="1"/>
        <v>20</v>
      </c>
      <c r="AH33" s="125">
        <f t="shared" si="1"/>
        <v>24</v>
      </c>
      <c r="AI33" s="125">
        <f t="shared" si="1"/>
        <v>23</v>
      </c>
      <c r="AJ33" s="125">
        <f t="shared" si="1"/>
        <v>24</v>
      </c>
      <c r="AK33" s="11">
        <f>SUM(F33:AJ34)</f>
        <v>444</v>
      </c>
      <c r="AL33" s="120">
        <f>31*24</f>
        <v>744</v>
      </c>
      <c r="AM33" s="144">
        <f>AK33/AL33</f>
        <v>0.59677419354838712</v>
      </c>
      <c r="AN33" s="120"/>
    </row>
    <row r="34" spans="1:40">
      <c r="A34" s="3" t="s">
        <v>727</v>
      </c>
      <c r="E34" s="117"/>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41" t="s">
        <v>2414</v>
      </c>
      <c r="AL34" s="142" t="s">
        <v>2415</v>
      </c>
      <c r="AM34" s="142" t="s">
        <v>2416</v>
      </c>
      <c r="AN34" s="120"/>
    </row>
    <row r="35" spans="1:40" ht="55">
      <c r="A35" s="135" t="s">
        <v>728</v>
      </c>
      <c r="B35" s="7"/>
      <c r="C35" s="7"/>
      <c r="D35" s="7"/>
      <c r="E35" s="148"/>
      <c r="F35" s="7" t="s">
        <v>2485</v>
      </c>
      <c r="G35" s="7" t="s">
        <v>2485</v>
      </c>
      <c r="H35" s="7" t="s">
        <v>2485</v>
      </c>
      <c r="I35" s="7" t="s">
        <v>2485</v>
      </c>
      <c r="J35" s="7" t="s">
        <v>2485</v>
      </c>
      <c r="K35" s="7" t="s">
        <v>2485</v>
      </c>
      <c r="L35" s="7" t="s">
        <v>2485</v>
      </c>
      <c r="M35" s="7" t="s">
        <v>2485</v>
      </c>
      <c r="N35" s="7" t="s">
        <v>2485</v>
      </c>
      <c r="O35" s="7" t="s">
        <v>2485</v>
      </c>
      <c r="P35" s="7" t="s">
        <v>2485</v>
      </c>
      <c r="Q35" s="7" t="s">
        <v>2485</v>
      </c>
      <c r="R35" s="7" t="s">
        <v>2485</v>
      </c>
      <c r="S35" s="7" t="s">
        <v>2485</v>
      </c>
      <c r="T35" s="7" t="s">
        <v>2485</v>
      </c>
      <c r="U35" s="7" t="s">
        <v>2485</v>
      </c>
      <c r="V35" s="7" t="s">
        <v>2485</v>
      </c>
      <c r="W35" s="7" t="s">
        <v>2485</v>
      </c>
      <c r="X35" s="7" t="s">
        <v>2485</v>
      </c>
      <c r="Y35" s="7" t="s">
        <v>2485</v>
      </c>
      <c r="Z35" s="7" t="s">
        <v>2485</v>
      </c>
      <c r="AA35" s="7" t="s">
        <v>2485</v>
      </c>
      <c r="AB35" s="7" t="s">
        <v>2485</v>
      </c>
      <c r="AC35" s="7" t="s">
        <v>2485</v>
      </c>
      <c r="AD35" s="7" t="s">
        <v>2485</v>
      </c>
      <c r="AE35" s="7" t="s">
        <v>2485</v>
      </c>
      <c r="AF35" s="7" t="s">
        <v>2485</v>
      </c>
      <c r="AG35" s="7" t="s">
        <v>2485</v>
      </c>
      <c r="AH35" s="7" t="s">
        <v>2485</v>
      </c>
      <c r="AI35" s="7" t="s">
        <v>2485</v>
      </c>
      <c r="AJ35" s="7" t="s">
        <v>2485</v>
      </c>
      <c r="AK35" s="7"/>
      <c r="AL35" s="7"/>
      <c r="AM35" s="7"/>
      <c r="AN35" s="7"/>
    </row>
    <row r="36" spans="1:40">
      <c r="A36" s="135" t="s">
        <v>2212</v>
      </c>
      <c r="B36" s="7"/>
      <c r="C36" s="7"/>
      <c r="D36" s="7"/>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workbookViewId="0">
      <pane xSplit="13860" topLeftCell="T1"/>
      <selection activeCell="A15" sqref="A15:XFD15"/>
      <selection pane="topRight" activeCell="AN11" sqref="AN11"/>
    </sheetView>
  </sheetViews>
  <sheetFormatPr baseColWidth="10" defaultRowHeight="13" x14ac:dyDescent="0"/>
  <cols>
    <col min="1" max="1" width="15.5703125" customWidth="1"/>
  </cols>
  <sheetData>
    <row r="1" spans="1:39">
      <c r="A1" s="137" t="s">
        <v>2404</v>
      </c>
      <c r="B1" s="3"/>
      <c r="C1" s="3"/>
      <c r="D1" s="3"/>
    </row>
    <row r="2" spans="1:39">
      <c r="A2" s="1" t="s">
        <v>614</v>
      </c>
      <c r="B2" s="1"/>
      <c r="C2" s="1"/>
      <c r="D2" s="1"/>
      <c r="E2" s="1" t="s">
        <v>2081</v>
      </c>
      <c r="F2" s="1" t="s">
        <v>2081</v>
      </c>
      <c r="G2" s="1" t="s">
        <v>2081</v>
      </c>
      <c r="H2" s="1" t="s">
        <v>2081</v>
      </c>
      <c r="I2" s="1" t="s">
        <v>2081</v>
      </c>
      <c r="J2" s="1" t="s">
        <v>2081</v>
      </c>
      <c r="K2" s="1" t="s">
        <v>2081</v>
      </c>
      <c r="L2" s="1" t="s">
        <v>2081</v>
      </c>
      <c r="M2" s="1" t="s">
        <v>2081</v>
      </c>
      <c r="N2" s="1" t="s">
        <v>2081</v>
      </c>
      <c r="O2" s="1" t="s">
        <v>2081</v>
      </c>
      <c r="P2" s="1" t="s">
        <v>2081</v>
      </c>
      <c r="Q2" s="1" t="s">
        <v>2081</v>
      </c>
      <c r="R2" s="1" t="s">
        <v>2081</v>
      </c>
      <c r="S2" s="1" t="s">
        <v>2081</v>
      </c>
      <c r="T2" s="1" t="s">
        <v>2081</v>
      </c>
      <c r="U2" s="1" t="s">
        <v>2081</v>
      </c>
      <c r="V2" s="1" t="s">
        <v>2081</v>
      </c>
      <c r="W2" s="1" t="s">
        <v>2081</v>
      </c>
      <c r="X2" s="1" t="s">
        <v>2081</v>
      </c>
      <c r="Y2" s="1" t="s">
        <v>2081</v>
      </c>
      <c r="Z2" s="1" t="s">
        <v>2081</v>
      </c>
      <c r="AA2" s="1" t="s">
        <v>2081</v>
      </c>
      <c r="AB2" s="1" t="s">
        <v>2081</v>
      </c>
      <c r="AC2" s="1" t="s">
        <v>2081</v>
      </c>
      <c r="AD2" s="1" t="s">
        <v>2081</v>
      </c>
      <c r="AE2" s="1" t="s">
        <v>2081</v>
      </c>
      <c r="AF2" s="1" t="s">
        <v>2081</v>
      </c>
      <c r="AG2" s="1" t="s">
        <v>2081</v>
      </c>
      <c r="AH2" s="1" t="s">
        <v>2081</v>
      </c>
      <c r="AI2" s="1" t="s">
        <v>2081</v>
      </c>
    </row>
    <row r="3" spans="1:39">
      <c r="A3" s="1" t="s">
        <v>518</v>
      </c>
      <c r="B3" s="1"/>
      <c r="C3" s="1"/>
      <c r="D3" s="1"/>
      <c r="E3" s="1" t="s">
        <v>2083</v>
      </c>
      <c r="F3" s="1" t="s">
        <v>2083</v>
      </c>
      <c r="G3" s="1" t="s">
        <v>2083</v>
      </c>
      <c r="H3" s="1" t="s">
        <v>2083</v>
      </c>
      <c r="I3" s="1" t="s">
        <v>2083</v>
      </c>
      <c r="J3" s="1" t="s">
        <v>2083</v>
      </c>
      <c r="K3" s="1" t="s">
        <v>2083</v>
      </c>
      <c r="L3" s="1" t="s">
        <v>2083</v>
      </c>
      <c r="M3" s="1" t="s">
        <v>2083</v>
      </c>
      <c r="N3" s="1" t="s">
        <v>2083</v>
      </c>
      <c r="O3" s="1" t="s">
        <v>2083</v>
      </c>
      <c r="P3" s="1" t="s">
        <v>2083</v>
      </c>
      <c r="Q3" s="1" t="s">
        <v>2083</v>
      </c>
      <c r="R3" s="1" t="s">
        <v>2083</v>
      </c>
      <c r="S3" s="1" t="s">
        <v>2083</v>
      </c>
      <c r="T3" s="1" t="s">
        <v>2083</v>
      </c>
      <c r="U3" s="1" t="s">
        <v>2083</v>
      </c>
      <c r="V3" s="1" t="s">
        <v>2083</v>
      </c>
      <c r="W3" s="1" t="s">
        <v>2083</v>
      </c>
      <c r="X3" s="1" t="s">
        <v>2083</v>
      </c>
      <c r="Y3" s="1" t="s">
        <v>2083</v>
      </c>
      <c r="Z3" s="1" t="s">
        <v>2083</v>
      </c>
      <c r="AA3" s="1" t="s">
        <v>2083</v>
      </c>
      <c r="AB3" s="1" t="s">
        <v>2083</v>
      </c>
      <c r="AC3" s="1" t="s">
        <v>2083</v>
      </c>
      <c r="AD3" s="1" t="s">
        <v>2083</v>
      </c>
      <c r="AE3" s="1" t="s">
        <v>2083</v>
      </c>
      <c r="AF3" s="1" t="s">
        <v>2083</v>
      </c>
      <c r="AG3" s="1" t="s">
        <v>2083</v>
      </c>
      <c r="AH3" s="1" t="s">
        <v>2083</v>
      </c>
      <c r="AI3" s="1" t="s">
        <v>2083</v>
      </c>
    </row>
    <row r="4" spans="1:39">
      <c r="A4" s="1" t="s">
        <v>736</v>
      </c>
      <c r="B4" s="1"/>
      <c r="C4" s="1"/>
      <c r="D4" s="1"/>
      <c r="E4" s="1" t="s">
        <v>2486</v>
      </c>
      <c r="F4" s="1" t="s">
        <v>2486</v>
      </c>
      <c r="G4" s="1" t="s">
        <v>2486</v>
      </c>
      <c r="H4" s="1" t="s">
        <v>2486</v>
      </c>
      <c r="I4" s="1" t="s">
        <v>2486</v>
      </c>
      <c r="J4" s="1" t="s">
        <v>2486</v>
      </c>
      <c r="K4" s="1" t="s">
        <v>2486</v>
      </c>
      <c r="L4" s="1" t="s">
        <v>2486</v>
      </c>
      <c r="M4" s="1" t="s">
        <v>2486</v>
      </c>
      <c r="N4" s="1" t="s">
        <v>2486</v>
      </c>
      <c r="O4" s="1" t="s">
        <v>2486</v>
      </c>
      <c r="P4" s="1" t="s">
        <v>2486</v>
      </c>
      <c r="Q4" s="1" t="s">
        <v>2486</v>
      </c>
      <c r="R4" s="1" t="s">
        <v>2486</v>
      </c>
      <c r="S4" s="1" t="s">
        <v>2486</v>
      </c>
      <c r="T4" s="1" t="s">
        <v>2486</v>
      </c>
      <c r="U4" s="1" t="s">
        <v>2486</v>
      </c>
      <c r="V4" s="1" t="s">
        <v>2486</v>
      </c>
      <c r="W4" s="1" t="s">
        <v>2486</v>
      </c>
      <c r="X4" s="1" t="s">
        <v>2486</v>
      </c>
      <c r="Y4" s="1" t="s">
        <v>2486</v>
      </c>
      <c r="Z4" s="1" t="s">
        <v>2486</v>
      </c>
      <c r="AA4" s="1" t="s">
        <v>2486</v>
      </c>
      <c r="AB4" s="1" t="s">
        <v>2486</v>
      </c>
      <c r="AC4" s="1" t="s">
        <v>2486</v>
      </c>
      <c r="AD4" s="1" t="s">
        <v>2486</v>
      </c>
      <c r="AE4" s="1" t="s">
        <v>2486</v>
      </c>
      <c r="AF4" s="1" t="s">
        <v>2486</v>
      </c>
      <c r="AG4" s="1" t="s">
        <v>2486</v>
      </c>
      <c r="AH4" s="1" t="s">
        <v>2486</v>
      </c>
      <c r="AI4" s="1" t="s">
        <v>2486</v>
      </c>
    </row>
    <row r="5" spans="1:39">
      <c r="A5" s="1" t="s">
        <v>737</v>
      </c>
      <c r="B5" s="1"/>
      <c r="C5" s="1"/>
      <c r="D5" s="1"/>
      <c r="E5" s="1" t="s">
        <v>2484</v>
      </c>
      <c r="F5" s="1" t="s">
        <v>2484</v>
      </c>
      <c r="G5" s="1" t="s">
        <v>2484</v>
      </c>
      <c r="H5" s="1" t="s">
        <v>2484</v>
      </c>
      <c r="I5" s="1" t="s">
        <v>2484</v>
      </c>
      <c r="J5" s="1" t="s">
        <v>2484</v>
      </c>
      <c r="K5" s="1" t="s">
        <v>2484</v>
      </c>
      <c r="L5" s="1" t="s">
        <v>2484</v>
      </c>
      <c r="M5" s="1" t="s">
        <v>2484</v>
      </c>
      <c r="N5" s="1" t="s">
        <v>2484</v>
      </c>
      <c r="O5" s="1" t="s">
        <v>2484</v>
      </c>
      <c r="P5" s="1" t="s">
        <v>2484</v>
      </c>
      <c r="Q5" s="1" t="s">
        <v>2484</v>
      </c>
      <c r="R5" s="1" t="s">
        <v>2484</v>
      </c>
      <c r="S5" s="1" t="s">
        <v>2484</v>
      </c>
      <c r="T5" s="1" t="s">
        <v>2484</v>
      </c>
      <c r="U5" s="1" t="s">
        <v>2484</v>
      </c>
      <c r="V5" s="1" t="s">
        <v>2484</v>
      </c>
      <c r="W5" s="1" t="s">
        <v>2484</v>
      </c>
      <c r="X5" s="1" t="s">
        <v>2484</v>
      </c>
      <c r="Y5" s="1" t="s">
        <v>2484</v>
      </c>
      <c r="Z5" s="1" t="s">
        <v>2484</v>
      </c>
      <c r="AA5" s="1" t="s">
        <v>2484</v>
      </c>
      <c r="AB5" s="1" t="s">
        <v>2484</v>
      </c>
      <c r="AC5" s="1" t="s">
        <v>2484</v>
      </c>
      <c r="AD5" s="1" t="s">
        <v>2484</v>
      </c>
      <c r="AE5" s="1" t="s">
        <v>2484</v>
      </c>
      <c r="AF5" s="1" t="s">
        <v>2484</v>
      </c>
      <c r="AG5" s="1" t="s">
        <v>2484</v>
      </c>
      <c r="AH5" s="1" t="s">
        <v>2484</v>
      </c>
      <c r="AI5" s="1" t="s">
        <v>2484</v>
      </c>
    </row>
    <row r="6" spans="1:39">
      <c r="A6" s="42" t="s">
        <v>560</v>
      </c>
      <c r="B6" s="42"/>
      <c r="C6" s="42"/>
      <c r="D6" s="42"/>
      <c r="E6" s="118">
        <v>1984</v>
      </c>
      <c r="F6" s="118">
        <v>1985</v>
      </c>
      <c r="G6" s="118">
        <v>1986</v>
      </c>
      <c r="H6" s="118">
        <v>1987</v>
      </c>
      <c r="I6" s="118">
        <v>1988</v>
      </c>
      <c r="J6" s="118">
        <v>1989</v>
      </c>
      <c r="K6" s="118">
        <v>1990</v>
      </c>
      <c r="L6" s="118">
        <v>1991</v>
      </c>
      <c r="M6" s="118">
        <v>1992</v>
      </c>
      <c r="N6" s="118">
        <v>1993</v>
      </c>
      <c r="O6" s="118">
        <v>1994</v>
      </c>
      <c r="P6" s="118">
        <v>1995</v>
      </c>
      <c r="Q6" s="118">
        <v>1996</v>
      </c>
      <c r="R6" s="118">
        <v>1997</v>
      </c>
      <c r="S6" s="118">
        <v>1998</v>
      </c>
      <c r="T6" s="118">
        <v>1999</v>
      </c>
      <c r="U6" s="118">
        <v>2000</v>
      </c>
      <c r="V6" s="118">
        <v>2001</v>
      </c>
      <c r="W6" s="118">
        <v>2002</v>
      </c>
      <c r="X6" s="118">
        <v>2003</v>
      </c>
      <c r="Y6" s="118">
        <v>2004</v>
      </c>
      <c r="Z6" s="118">
        <v>2005</v>
      </c>
      <c r="AA6" s="118">
        <v>2006</v>
      </c>
      <c r="AB6" s="118">
        <v>2007</v>
      </c>
      <c r="AC6" s="118">
        <v>2008</v>
      </c>
      <c r="AD6" s="118">
        <v>2009</v>
      </c>
      <c r="AE6" s="118">
        <v>2010</v>
      </c>
      <c r="AF6" s="118">
        <v>2011</v>
      </c>
      <c r="AG6" s="118">
        <v>2012</v>
      </c>
      <c r="AH6" s="118">
        <v>2013</v>
      </c>
      <c r="AI6" s="118">
        <v>2014</v>
      </c>
    </row>
    <row r="7" spans="1:39" ht="66">
      <c r="A7" s="7" t="s">
        <v>3334</v>
      </c>
      <c r="B7" s="42"/>
      <c r="C7" s="42"/>
      <c r="D7" s="42"/>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row>
    <row r="8" spans="1:39">
      <c r="A8" s="9" t="s">
        <v>572</v>
      </c>
      <c r="B8" s="9" t="s">
        <v>770</v>
      </c>
      <c r="C8" s="9" t="s">
        <v>771</v>
      </c>
      <c r="D8" s="9" t="s">
        <v>772</v>
      </c>
      <c r="AJ8" s="138" t="s">
        <v>2454</v>
      </c>
      <c r="AK8" s="120" t="s">
        <v>2455</v>
      </c>
      <c r="AL8" s="120" t="s">
        <v>2456</v>
      </c>
      <c r="AM8" s="118" t="s">
        <v>728</v>
      </c>
    </row>
    <row r="9" spans="1:39">
      <c r="A9" s="3" t="s">
        <v>850</v>
      </c>
      <c r="B9" s="3" t="s">
        <v>851</v>
      </c>
      <c r="C9" s="3">
        <v>1</v>
      </c>
      <c r="D9" s="3" t="s">
        <v>759</v>
      </c>
      <c r="E9" s="154">
        <v>3.2608695652173912E-2</v>
      </c>
      <c r="F9" s="154"/>
      <c r="G9" s="154">
        <v>3.2608695652173912E-2</v>
      </c>
      <c r="H9" s="154"/>
      <c r="I9" s="154">
        <v>2.1739130434782608E-2</v>
      </c>
      <c r="J9" s="154"/>
      <c r="K9" s="154">
        <v>4.3478260869565216E-2</v>
      </c>
      <c r="L9" s="154"/>
      <c r="M9" s="154">
        <v>7.6086956521739135E-2</v>
      </c>
      <c r="N9" s="154"/>
      <c r="O9" s="154">
        <v>7.6086956521739135E-2</v>
      </c>
      <c r="P9" s="154"/>
      <c r="Q9" s="154">
        <v>0.13043478260869565</v>
      </c>
      <c r="R9" s="154"/>
      <c r="S9" s="154">
        <v>0.22826086956521738</v>
      </c>
      <c r="T9" s="154"/>
      <c r="U9" s="154">
        <v>0.29347826086956524</v>
      </c>
      <c r="V9" s="154">
        <v>0.29347826086956524</v>
      </c>
      <c r="W9" s="154">
        <v>0.31521739130434784</v>
      </c>
      <c r="X9" s="154">
        <v>0.31521739130434784</v>
      </c>
      <c r="Y9" s="154">
        <v>0.31521739130434784</v>
      </c>
      <c r="Z9" s="154">
        <v>0.31868131868131866</v>
      </c>
      <c r="AA9" s="154">
        <v>0.30434782608695654</v>
      </c>
      <c r="AB9" s="154">
        <v>0.30434782608695654</v>
      </c>
      <c r="AC9" s="154">
        <v>0.27173913043478259</v>
      </c>
      <c r="AD9" s="154">
        <v>0.28260869565217389</v>
      </c>
      <c r="AE9" s="154">
        <v>0.25</v>
      </c>
      <c r="AF9" s="154">
        <v>0.25</v>
      </c>
      <c r="AG9" s="154">
        <v>0.27173913043478259</v>
      </c>
      <c r="AH9" s="154">
        <v>0.27173913043478259</v>
      </c>
      <c r="AI9" s="154">
        <v>0.28260869565217389</v>
      </c>
      <c r="AJ9" s="11">
        <f t="shared" ref="AJ9:AJ32" si="0">COUNT(E9:AI9)</f>
        <v>23</v>
      </c>
      <c r="AK9" s="120">
        <v>2001</v>
      </c>
      <c r="AL9" s="120">
        <v>2014</v>
      </c>
      <c r="AM9" s="120" t="s">
        <v>2457</v>
      </c>
    </row>
    <row r="10" spans="1:39">
      <c r="A10" s="3" t="s">
        <v>667</v>
      </c>
      <c r="B10" s="3" t="s">
        <v>668</v>
      </c>
      <c r="C10" s="3">
        <v>2</v>
      </c>
      <c r="D10" s="3" t="s">
        <v>759</v>
      </c>
      <c r="E10" s="154"/>
      <c r="F10" s="154"/>
      <c r="G10" s="154"/>
      <c r="H10" s="154"/>
      <c r="I10" s="154"/>
      <c r="J10" s="154"/>
      <c r="K10" s="154"/>
      <c r="L10" s="154"/>
      <c r="M10" s="154"/>
      <c r="N10" s="154"/>
      <c r="O10" s="154"/>
      <c r="P10" s="154"/>
      <c r="Q10" s="154"/>
      <c r="R10" s="154"/>
      <c r="S10" s="154">
        <v>0.35</v>
      </c>
      <c r="T10" s="154">
        <v>0.35</v>
      </c>
      <c r="U10" s="154">
        <v>0.36666666666666664</v>
      </c>
      <c r="V10" s="154">
        <v>0.36666666666666664</v>
      </c>
      <c r="W10" s="154">
        <v>0.33333333333333331</v>
      </c>
      <c r="X10" s="154">
        <v>0.33333333333333331</v>
      </c>
      <c r="Y10" s="154">
        <v>0.4</v>
      </c>
      <c r="Z10" s="154">
        <v>0.36666666666666664</v>
      </c>
      <c r="AA10" s="154">
        <v>0.36666666666666664</v>
      </c>
      <c r="AB10" s="154">
        <v>0.36666666666666664</v>
      </c>
      <c r="AC10" s="154">
        <v>0.36666666666666664</v>
      </c>
      <c r="AD10" s="154">
        <v>0.35</v>
      </c>
      <c r="AE10" s="154">
        <v>0.35</v>
      </c>
      <c r="AF10" s="154">
        <v>0.35</v>
      </c>
      <c r="AG10" s="154">
        <v>0.35</v>
      </c>
      <c r="AH10" s="154">
        <v>0.35</v>
      </c>
      <c r="AI10" s="154">
        <v>0.38333333333333336</v>
      </c>
      <c r="AJ10" s="11">
        <f t="shared" si="0"/>
        <v>17</v>
      </c>
      <c r="AK10" s="120">
        <v>1998</v>
      </c>
      <c r="AL10" s="120">
        <v>2014</v>
      </c>
      <c r="AM10" s="109" t="s">
        <v>2458</v>
      </c>
    </row>
    <row r="11" spans="1:39">
      <c r="A11" s="3" t="s">
        <v>669</v>
      </c>
      <c r="B11" s="3" t="s">
        <v>663</v>
      </c>
      <c r="C11" s="3">
        <v>3</v>
      </c>
      <c r="D11" s="3" t="s">
        <v>664</v>
      </c>
      <c r="E11" s="154"/>
      <c r="F11" s="154"/>
      <c r="G11" s="154"/>
      <c r="H11" s="154"/>
      <c r="I11" s="154"/>
      <c r="J11" s="154"/>
      <c r="K11" s="154"/>
      <c r="L11" s="154"/>
      <c r="M11" s="154"/>
      <c r="N11" s="154"/>
      <c r="O11" s="154"/>
      <c r="P11" s="154"/>
      <c r="Q11" s="154"/>
      <c r="R11" s="154"/>
      <c r="S11" s="154"/>
      <c r="T11" s="154"/>
      <c r="U11" s="154"/>
      <c r="V11" s="154"/>
      <c r="W11" s="154"/>
      <c r="X11" s="154"/>
      <c r="Y11" s="154">
        <v>0.29268292682926828</v>
      </c>
      <c r="Z11" s="154">
        <v>0.29268292682926828</v>
      </c>
      <c r="AA11" s="154"/>
      <c r="AB11" s="154"/>
      <c r="AC11" s="154"/>
      <c r="AD11" s="154"/>
      <c r="AE11" s="154">
        <v>0.29299999999999998</v>
      </c>
      <c r="AF11" s="154"/>
      <c r="AG11" s="154">
        <v>0.31707317073170732</v>
      </c>
      <c r="AH11" s="154">
        <v>0.31707317073170732</v>
      </c>
      <c r="AI11" s="154">
        <v>0.34146341463414637</v>
      </c>
      <c r="AJ11" s="11">
        <f t="shared" si="0"/>
        <v>6</v>
      </c>
      <c r="AK11" s="120"/>
      <c r="AL11" s="120"/>
      <c r="AM11" s="120" t="s">
        <v>2459</v>
      </c>
    </row>
    <row r="12" spans="1:39">
      <c r="A12" s="3" t="s">
        <v>665</v>
      </c>
      <c r="B12" s="3" t="s">
        <v>640</v>
      </c>
      <c r="C12" s="3">
        <v>4</v>
      </c>
      <c r="D12" s="3" t="s">
        <v>641</v>
      </c>
      <c r="E12" s="154">
        <v>0.13333333333333333</v>
      </c>
      <c r="F12" s="154">
        <v>0.13333333333333333</v>
      </c>
      <c r="G12" s="154">
        <v>0.15625</v>
      </c>
      <c r="H12" s="154">
        <v>0.125</v>
      </c>
      <c r="I12" s="154">
        <v>9.375E-2</v>
      </c>
      <c r="J12" s="154">
        <v>9.375E-2</v>
      </c>
      <c r="K12" s="154">
        <v>9.375E-2</v>
      </c>
      <c r="L12" s="154">
        <v>9.375E-2</v>
      </c>
      <c r="M12" s="154">
        <v>9.375E-2</v>
      </c>
      <c r="N12" s="154">
        <v>6.25E-2</v>
      </c>
      <c r="O12" s="154">
        <v>0.15625</v>
      </c>
      <c r="P12" s="154">
        <v>0.1875</v>
      </c>
      <c r="Q12" s="154">
        <v>0.34375</v>
      </c>
      <c r="R12" s="154">
        <v>0.34375</v>
      </c>
      <c r="S12" s="154">
        <v>0.28125</v>
      </c>
      <c r="T12" s="154">
        <v>0.28125</v>
      </c>
      <c r="U12" s="154">
        <v>0.25</v>
      </c>
      <c r="V12" s="154">
        <v>0.25</v>
      </c>
      <c r="W12" s="154">
        <v>0.28125</v>
      </c>
      <c r="X12" s="154">
        <v>0.28125</v>
      </c>
      <c r="Y12" s="154">
        <v>0.34375</v>
      </c>
      <c r="Z12" s="154">
        <v>0.34375</v>
      </c>
      <c r="AA12" s="154">
        <v>0.375</v>
      </c>
      <c r="AB12" s="154">
        <v>0.375</v>
      </c>
      <c r="AC12" s="154">
        <v>0.375</v>
      </c>
      <c r="AD12" s="154">
        <v>0.34375</v>
      </c>
      <c r="AE12" s="154">
        <v>0.34375</v>
      </c>
      <c r="AF12" s="154">
        <v>0.34375</v>
      </c>
      <c r="AG12" s="154">
        <v>0.3125</v>
      </c>
      <c r="AH12" s="154">
        <v>0.3125</v>
      </c>
      <c r="AI12" s="154">
        <v>0.40625</v>
      </c>
      <c r="AJ12" s="11">
        <f t="shared" si="0"/>
        <v>31</v>
      </c>
      <c r="AK12" s="120">
        <v>2001</v>
      </c>
      <c r="AL12" s="120">
        <v>2014</v>
      </c>
      <c r="AM12" s="120" t="s">
        <v>2460</v>
      </c>
    </row>
    <row r="13" spans="1:39">
      <c r="A13" s="3" t="s">
        <v>539</v>
      </c>
      <c r="B13" s="3" t="s">
        <v>540</v>
      </c>
      <c r="C13" s="3">
        <v>5</v>
      </c>
      <c r="D13" s="3" t="s">
        <v>541</v>
      </c>
      <c r="E13" s="154">
        <v>7.407407407407407E-2</v>
      </c>
      <c r="F13" s="154"/>
      <c r="G13" s="154"/>
      <c r="H13" s="154"/>
      <c r="I13" s="154">
        <v>0.1111111111111111</v>
      </c>
      <c r="J13" s="154"/>
      <c r="K13" s="154"/>
      <c r="L13" s="154"/>
      <c r="M13" s="154">
        <v>0.1111111111111111</v>
      </c>
      <c r="N13" s="154"/>
      <c r="O13" s="154"/>
      <c r="P13" s="154"/>
      <c r="Q13" s="154">
        <v>0.25925925925925924</v>
      </c>
      <c r="R13" s="154"/>
      <c r="S13" s="154"/>
      <c r="T13" s="154"/>
      <c r="U13" s="154">
        <v>0.29629629629629628</v>
      </c>
      <c r="V13" s="154"/>
      <c r="W13" s="154"/>
      <c r="X13" s="154"/>
      <c r="Y13" s="154">
        <v>0.29629629629629628</v>
      </c>
      <c r="Z13" s="154"/>
      <c r="AA13" s="154"/>
      <c r="AB13" s="154"/>
      <c r="AC13" s="154">
        <v>0.29629629629629628</v>
      </c>
      <c r="AD13" s="154"/>
      <c r="AE13" s="154"/>
      <c r="AF13" s="154"/>
      <c r="AG13" s="154">
        <v>0.33333333333333331</v>
      </c>
      <c r="AH13" s="154">
        <v>0.33333333333333331</v>
      </c>
      <c r="AI13" s="154">
        <v>0.33333333333333331</v>
      </c>
      <c r="AJ13" s="11">
        <f t="shared" si="0"/>
        <v>10</v>
      </c>
      <c r="AK13" s="120">
        <v>2012</v>
      </c>
      <c r="AL13" s="120">
        <v>2014</v>
      </c>
      <c r="AM13" s="120" t="s">
        <v>2461</v>
      </c>
    </row>
    <row r="14" spans="1:39">
      <c r="A14" s="3" t="s">
        <v>542</v>
      </c>
      <c r="B14" s="3" t="s">
        <v>543</v>
      </c>
      <c r="C14" s="3">
        <v>6</v>
      </c>
      <c r="D14" s="3" t="s">
        <v>759</v>
      </c>
      <c r="E14" s="154">
        <v>0.1388888888888889</v>
      </c>
      <c r="F14" s="154">
        <v>0.1388888888888889</v>
      </c>
      <c r="G14" s="154">
        <v>0.1388888888888889</v>
      </c>
      <c r="H14" s="154">
        <v>0.1388888888888889</v>
      </c>
      <c r="I14" s="154">
        <v>6.0606060606060608E-2</v>
      </c>
      <c r="J14" s="154">
        <v>6.0606060606060608E-2</v>
      </c>
      <c r="K14" s="154">
        <v>6.0606060606060608E-2</v>
      </c>
      <c r="L14" s="154">
        <v>6.0606060606060608E-2</v>
      </c>
      <c r="M14" s="154">
        <v>6.0606060606060608E-2</v>
      </c>
      <c r="N14" s="154">
        <v>6.0606060606060608E-2</v>
      </c>
      <c r="O14" s="154">
        <v>6.0606060606060608E-2</v>
      </c>
      <c r="P14" s="154">
        <v>6.0606060606060608E-2</v>
      </c>
      <c r="Q14" s="154">
        <v>0.27272727272727271</v>
      </c>
      <c r="R14" s="154">
        <v>0.27272727272727271</v>
      </c>
      <c r="S14" s="154">
        <v>0.22727272727272727</v>
      </c>
      <c r="T14" s="154">
        <v>0.22727272727272727</v>
      </c>
      <c r="U14" s="154">
        <v>0.2878787878787879</v>
      </c>
      <c r="V14" s="154">
        <v>0.30303030303030304</v>
      </c>
      <c r="W14" s="154">
        <v>0.35714285714285715</v>
      </c>
      <c r="X14" s="154">
        <v>0.37142857142857144</v>
      </c>
      <c r="Y14" s="154">
        <v>0.3</v>
      </c>
      <c r="Z14" s="154">
        <v>0.3</v>
      </c>
      <c r="AA14" s="154">
        <v>0.31428571428571428</v>
      </c>
      <c r="AB14" s="154">
        <v>0.32857142857142857</v>
      </c>
      <c r="AC14" s="154">
        <v>0.31428571428571428</v>
      </c>
      <c r="AD14" s="154">
        <v>0.3</v>
      </c>
      <c r="AE14" s="154">
        <v>0.32857142857142857</v>
      </c>
      <c r="AF14" s="154">
        <v>0.31428571428571428</v>
      </c>
      <c r="AG14" s="154">
        <v>0.44285714285714284</v>
      </c>
      <c r="AH14" s="154">
        <v>0.44285714285714284</v>
      </c>
      <c r="AI14" s="154">
        <v>0.41428571428571431</v>
      </c>
      <c r="AJ14" s="11">
        <f t="shared" si="0"/>
        <v>31</v>
      </c>
      <c r="AK14" s="120">
        <v>1984</v>
      </c>
      <c r="AL14" s="120">
        <v>2014</v>
      </c>
      <c r="AM14" s="120" t="s">
        <v>2462</v>
      </c>
    </row>
    <row r="15" spans="1:39">
      <c r="A15" s="3" t="s">
        <v>628</v>
      </c>
      <c r="B15" s="3" t="s">
        <v>629</v>
      </c>
      <c r="C15" s="3">
        <v>7</v>
      </c>
      <c r="D15" s="3" t="s">
        <v>641</v>
      </c>
      <c r="E15" s="154">
        <v>0.15384615384615385</v>
      </c>
      <c r="F15" s="154"/>
      <c r="G15" s="154"/>
      <c r="H15" s="154"/>
      <c r="I15" s="154"/>
      <c r="J15" s="154"/>
      <c r="K15" s="154">
        <v>3.8461538461538464E-2</v>
      </c>
      <c r="L15" s="154"/>
      <c r="M15" s="154">
        <v>0</v>
      </c>
      <c r="N15" s="154"/>
      <c r="O15" s="154">
        <v>7.6923076923076927E-2</v>
      </c>
      <c r="P15" s="154"/>
      <c r="Q15" s="154">
        <v>0.11538461538461539</v>
      </c>
      <c r="R15" s="154"/>
      <c r="S15" s="154">
        <v>7.6923076923076927E-2</v>
      </c>
      <c r="T15" s="154"/>
      <c r="U15" s="154">
        <v>7.6923076923076927E-2</v>
      </c>
      <c r="V15" s="157"/>
      <c r="W15" s="154"/>
      <c r="X15" s="154"/>
      <c r="Y15" s="154">
        <v>0.38461538461538464</v>
      </c>
      <c r="Z15" s="154">
        <v>0.38461538461538464</v>
      </c>
      <c r="AA15" s="154">
        <v>0.38461538461538464</v>
      </c>
      <c r="AB15" s="154">
        <v>0.38461538461538464</v>
      </c>
      <c r="AC15" s="154">
        <v>0.38461538461538464</v>
      </c>
      <c r="AD15" s="154">
        <v>0.38461538461538464</v>
      </c>
      <c r="AE15" s="154">
        <v>0.38461538461538464</v>
      </c>
      <c r="AF15" s="154">
        <v>0.38461538461538464</v>
      </c>
      <c r="AG15" s="154">
        <v>0.30769230769230771</v>
      </c>
      <c r="AH15" s="154">
        <v>0.30769230769230771</v>
      </c>
      <c r="AI15" s="154">
        <v>0.3</v>
      </c>
      <c r="AJ15" s="11">
        <f t="shared" si="0"/>
        <v>18</v>
      </c>
      <c r="AK15" s="120">
        <v>2004</v>
      </c>
      <c r="AL15" s="120">
        <v>2014</v>
      </c>
      <c r="AM15" s="120" t="s">
        <v>2463</v>
      </c>
    </row>
    <row r="16" spans="1:39">
      <c r="A16" s="3" t="s">
        <v>630</v>
      </c>
      <c r="B16" s="3" t="s">
        <v>631</v>
      </c>
      <c r="C16" s="3">
        <v>8</v>
      </c>
      <c r="D16" s="3" t="s">
        <v>759</v>
      </c>
      <c r="E16" s="154"/>
      <c r="F16" s="154"/>
      <c r="G16" s="154"/>
      <c r="H16" s="154"/>
      <c r="I16" s="154"/>
      <c r="J16" s="154"/>
      <c r="K16" s="154"/>
      <c r="L16" s="154"/>
      <c r="M16" s="154"/>
      <c r="N16" s="154"/>
      <c r="O16" s="154"/>
      <c r="P16" s="154"/>
      <c r="Q16" s="154"/>
      <c r="R16" s="154"/>
      <c r="S16" s="154"/>
      <c r="T16" s="154"/>
      <c r="U16" s="154"/>
      <c r="V16" s="154"/>
      <c r="W16" s="154">
        <v>0.14285714285714285</v>
      </c>
      <c r="X16" s="154">
        <v>0.14285714285714285</v>
      </c>
      <c r="Y16" s="154">
        <v>0.14285714285714285</v>
      </c>
      <c r="Z16" s="154">
        <v>0.14285714285714285</v>
      </c>
      <c r="AA16" s="154">
        <v>0.14285714285714285</v>
      </c>
      <c r="AB16" s="154">
        <v>0.14285714285714285</v>
      </c>
      <c r="AC16" s="154">
        <v>0.17857142857142858</v>
      </c>
      <c r="AD16" s="154">
        <v>0.17857142857142858</v>
      </c>
      <c r="AE16" s="154">
        <v>0.17857142857142858</v>
      </c>
      <c r="AF16" s="154">
        <v>0.17857142857142858</v>
      </c>
      <c r="AG16" s="154">
        <v>0.23529411764705882</v>
      </c>
      <c r="AH16" s="154">
        <v>0.23529411764705882</v>
      </c>
      <c r="AI16" s="154">
        <v>0.23529411764705882</v>
      </c>
      <c r="AJ16" s="11">
        <f t="shared" si="0"/>
        <v>13</v>
      </c>
      <c r="AK16" s="120">
        <v>2002</v>
      </c>
      <c r="AL16" s="120">
        <v>2014</v>
      </c>
      <c r="AM16" s="120" t="s">
        <v>2464</v>
      </c>
    </row>
    <row r="17" spans="1:39">
      <c r="A17" s="3" t="s">
        <v>632</v>
      </c>
      <c r="B17" s="3" t="s">
        <v>633</v>
      </c>
      <c r="C17" s="3">
        <v>9</v>
      </c>
      <c r="D17" s="3" t="s">
        <v>641</v>
      </c>
      <c r="E17" s="154">
        <v>6.6666666666666666E-2</v>
      </c>
      <c r="F17" s="154">
        <v>6.6666666666666666E-2</v>
      </c>
      <c r="G17" s="154">
        <v>6.6666666666666666E-2</v>
      </c>
      <c r="H17" s="154">
        <v>6.6666666666666666E-2</v>
      </c>
      <c r="I17" s="154">
        <v>0.1</v>
      </c>
      <c r="J17" s="154">
        <v>0.1</v>
      </c>
      <c r="K17" s="154">
        <v>0.13333333333333333</v>
      </c>
      <c r="L17" s="154">
        <v>0.16666666666666666</v>
      </c>
      <c r="M17" s="154">
        <v>0.16666666666666666</v>
      </c>
      <c r="N17" s="154">
        <v>0.16666666666666666</v>
      </c>
      <c r="O17" s="154">
        <v>0.13333333333333333</v>
      </c>
      <c r="P17" s="154">
        <v>0.13333333333333333</v>
      </c>
      <c r="Q17" s="154">
        <v>0.1</v>
      </c>
      <c r="R17" s="154">
        <v>0.1</v>
      </c>
      <c r="S17" s="154">
        <v>0.2</v>
      </c>
      <c r="T17" s="154">
        <v>0.2</v>
      </c>
      <c r="U17" s="154">
        <v>0.36666666666666664</v>
      </c>
      <c r="V17" s="154">
        <v>0.36666666666666664</v>
      </c>
      <c r="W17" s="154">
        <v>0.36666666666666664</v>
      </c>
      <c r="X17" s="154">
        <v>0.36666666666666664</v>
      </c>
      <c r="Y17" s="154">
        <v>0.33333333333333331</v>
      </c>
      <c r="Z17" s="154">
        <v>0.33333333333333331</v>
      </c>
      <c r="AA17" s="154">
        <v>0.36666666666666664</v>
      </c>
      <c r="AB17" s="154">
        <v>0.36666666666666664</v>
      </c>
      <c r="AC17" s="154">
        <v>0.36666666666666664</v>
      </c>
      <c r="AD17" s="154">
        <v>0.36666666666666664</v>
      </c>
      <c r="AE17" s="154">
        <v>0.3</v>
      </c>
      <c r="AF17" s="154">
        <v>0.3</v>
      </c>
      <c r="AG17" s="154">
        <v>0.3</v>
      </c>
      <c r="AH17" s="154">
        <v>0.3</v>
      </c>
      <c r="AI17" s="154">
        <v>0.33333333333333331</v>
      </c>
      <c r="AJ17" s="11">
        <f t="shared" si="0"/>
        <v>31</v>
      </c>
      <c r="AK17" s="120">
        <v>1984</v>
      </c>
      <c r="AL17" s="120">
        <v>2014</v>
      </c>
      <c r="AM17" s="120" t="s">
        <v>2465</v>
      </c>
    </row>
    <row r="18" spans="1:39">
      <c r="A18" s="3" t="s">
        <v>634</v>
      </c>
      <c r="B18" s="3" t="s">
        <v>715</v>
      </c>
      <c r="C18" s="3">
        <v>10</v>
      </c>
      <c r="D18" s="3" t="s">
        <v>664</v>
      </c>
      <c r="E18" s="154">
        <v>3.3333333333333333E-2</v>
      </c>
      <c r="F18" s="154">
        <v>3.3333333333333333E-2</v>
      </c>
      <c r="G18" s="154">
        <v>3.3333333333333333E-2</v>
      </c>
      <c r="H18" s="154">
        <v>3.3333333333333333E-2</v>
      </c>
      <c r="I18" s="154">
        <v>8.3333333333333329E-2</v>
      </c>
      <c r="J18" s="154">
        <v>8.3333333333333329E-2</v>
      </c>
      <c r="K18" s="154">
        <v>0.125</v>
      </c>
      <c r="L18" s="154">
        <v>0.125</v>
      </c>
      <c r="M18" s="154">
        <v>0.125</v>
      </c>
      <c r="N18" s="154">
        <v>0.125</v>
      </c>
      <c r="O18" s="154">
        <v>0.20833333333333334</v>
      </c>
      <c r="P18" s="154">
        <v>0.20833333333333334</v>
      </c>
      <c r="Q18" s="154">
        <v>0.27083333333333331</v>
      </c>
      <c r="R18" s="154">
        <v>0.27083333333333331</v>
      </c>
      <c r="S18" s="154">
        <v>0.25</v>
      </c>
      <c r="T18" s="154">
        <v>0.25</v>
      </c>
      <c r="U18" s="154">
        <v>0.20833333333333334</v>
      </c>
      <c r="V18" s="154">
        <v>0.20833333333333334</v>
      </c>
      <c r="W18" s="154">
        <v>0.25</v>
      </c>
      <c r="X18" s="154">
        <v>0.25</v>
      </c>
      <c r="Y18" s="154">
        <v>0.27083333333333331</v>
      </c>
      <c r="Z18" s="154">
        <v>0.27083333333333331</v>
      </c>
      <c r="AA18" s="154">
        <v>0.27083333333333331</v>
      </c>
      <c r="AB18" s="154">
        <v>0.27083333333333331</v>
      </c>
      <c r="AC18" s="154">
        <v>0.25</v>
      </c>
      <c r="AD18" s="154">
        <v>0.25</v>
      </c>
      <c r="AE18" s="154">
        <v>0.3125</v>
      </c>
      <c r="AF18" s="154">
        <v>0.3125</v>
      </c>
      <c r="AG18" s="154">
        <v>0.33333333333333331</v>
      </c>
      <c r="AH18" s="154">
        <v>0.33333333333333331</v>
      </c>
      <c r="AI18" s="154">
        <v>0.35416666666666669</v>
      </c>
      <c r="AJ18" s="11">
        <f t="shared" si="0"/>
        <v>31</v>
      </c>
      <c r="AK18" s="120">
        <v>1984</v>
      </c>
      <c r="AL18" s="120">
        <v>2014</v>
      </c>
      <c r="AM18" s="120" t="s">
        <v>2466</v>
      </c>
    </row>
    <row r="19" spans="1:39">
      <c r="A19" s="3" t="s">
        <v>716</v>
      </c>
      <c r="B19" s="3" t="s">
        <v>717</v>
      </c>
      <c r="C19" s="3">
        <v>11</v>
      </c>
      <c r="D19" s="3" t="s">
        <v>541</v>
      </c>
      <c r="E19" s="154">
        <v>4.7619047619047616E-2</v>
      </c>
      <c r="F19" s="154">
        <v>4.7619047619047616E-2</v>
      </c>
      <c r="G19" s="154">
        <v>4.7619047619047616E-2</v>
      </c>
      <c r="H19" s="154">
        <v>4.7619047619047616E-2</v>
      </c>
      <c r="I19" s="154">
        <v>9.5238095238095233E-2</v>
      </c>
      <c r="J19" s="154">
        <v>9.5238095238095233E-2</v>
      </c>
      <c r="K19" s="154">
        <v>9.5238095238095233E-2</v>
      </c>
      <c r="L19" s="154">
        <v>9.5238095238095233E-2</v>
      </c>
      <c r="M19" s="154">
        <v>9.5238095238095233E-2</v>
      </c>
      <c r="N19" s="154">
        <v>9.5238095238095233E-2</v>
      </c>
      <c r="O19" s="154">
        <v>9.5238095238095233E-2</v>
      </c>
      <c r="P19" s="154">
        <v>9.5238095238095233E-2</v>
      </c>
      <c r="Q19" s="154">
        <v>0.26923076923076922</v>
      </c>
      <c r="R19" s="154">
        <v>0.26923076923076922</v>
      </c>
      <c r="S19" s="154">
        <v>0.26923076923076922</v>
      </c>
      <c r="T19" s="154">
        <v>0.26923076923076922</v>
      </c>
      <c r="U19" s="154">
        <v>0.26923076923076922</v>
      </c>
      <c r="V19" s="154">
        <v>0.26923076923076922</v>
      </c>
      <c r="W19" s="154">
        <v>0.26923076923076922</v>
      </c>
      <c r="X19" s="154">
        <v>0.26923076923076922</v>
      </c>
      <c r="Y19" s="154">
        <v>0.34615384615384615</v>
      </c>
      <c r="Z19" s="154">
        <v>0.34615384615384615</v>
      </c>
      <c r="AA19" s="154">
        <v>0.34615384615384615</v>
      </c>
      <c r="AB19" s="154">
        <v>0.34615384615384615</v>
      </c>
      <c r="AC19" s="154">
        <v>0.26923076923076922</v>
      </c>
      <c r="AD19" s="154">
        <v>0.26923076923076922</v>
      </c>
      <c r="AE19" s="154">
        <v>0.26923076923076922</v>
      </c>
      <c r="AF19" s="154">
        <v>0.26923076923076922</v>
      </c>
      <c r="AG19" s="154">
        <v>0.3</v>
      </c>
      <c r="AH19" s="154">
        <v>0.3</v>
      </c>
      <c r="AI19" s="154">
        <v>0.3</v>
      </c>
      <c r="AJ19" s="11">
        <f t="shared" si="0"/>
        <v>31</v>
      </c>
      <c r="AK19" s="120">
        <v>1984</v>
      </c>
      <c r="AL19" s="120">
        <v>2014</v>
      </c>
      <c r="AM19" s="120" t="s">
        <v>2467</v>
      </c>
    </row>
    <row r="20" spans="1:39">
      <c r="A20" s="3" t="s">
        <v>718</v>
      </c>
      <c r="B20" s="3" t="s">
        <v>719</v>
      </c>
      <c r="C20" s="3">
        <v>12</v>
      </c>
      <c r="D20" s="3" t="s">
        <v>664</v>
      </c>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v>0.22222222222222221</v>
      </c>
      <c r="AF20" s="154"/>
      <c r="AG20" s="154">
        <v>0.30555555555555558</v>
      </c>
      <c r="AH20" s="154"/>
      <c r="AI20" s="154">
        <v>0.27777777777777779</v>
      </c>
      <c r="AJ20" s="11">
        <f t="shared" si="0"/>
        <v>3</v>
      </c>
      <c r="AK20" s="120"/>
      <c r="AL20" s="120"/>
      <c r="AM20" s="120" t="s">
        <v>2468</v>
      </c>
    </row>
    <row r="21" spans="1:39">
      <c r="A21" s="3" t="s">
        <v>711</v>
      </c>
      <c r="B21" s="3" t="s">
        <v>712</v>
      </c>
      <c r="C21" s="3">
        <v>13</v>
      </c>
      <c r="D21" s="3" t="s">
        <v>713</v>
      </c>
      <c r="E21" s="154"/>
      <c r="F21" s="154"/>
      <c r="G21" s="154"/>
      <c r="H21" s="154"/>
      <c r="I21" s="154"/>
      <c r="J21" s="154"/>
      <c r="K21" s="154"/>
      <c r="L21" s="154"/>
      <c r="M21" s="154"/>
      <c r="N21" s="154"/>
      <c r="O21" s="154"/>
      <c r="P21" s="154"/>
      <c r="Q21" s="154"/>
      <c r="R21" s="154"/>
      <c r="S21" s="154"/>
      <c r="T21" s="154"/>
      <c r="U21" s="154"/>
      <c r="V21" s="154"/>
      <c r="W21" s="154"/>
      <c r="X21" s="154">
        <v>0.14583333333333334</v>
      </c>
      <c r="Y21" s="154">
        <v>0.1875</v>
      </c>
      <c r="Z21" s="154">
        <v>0.20833333333333334</v>
      </c>
      <c r="AA21" s="154">
        <v>0.22916666666666666</v>
      </c>
      <c r="AB21" s="154">
        <v>0.22916666666666666</v>
      </c>
      <c r="AC21" s="154">
        <v>0.22916666666666666</v>
      </c>
      <c r="AD21" s="154">
        <v>0.25</v>
      </c>
      <c r="AE21" s="154">
        <v>0.29166666666666669</v>
      </c>
      <c r="AF21" s="154">
        <v>0.29166666666666669</v>
      </c>
      <c r="AG21" s="154">
        <v>0.3125</v>
      </c>
      <c r="AH21" s="154">
        <v>0.3125</v>
      </c>
      <c r="AI21" s="154">
        <v>0.29166666666666669</v>
      </c>
      <c r="AJ21" s="11">
        <f t="shared" si="0"/>
        <v>12</v>
      </c>
      <c r="AK21" s="120">
        <v>2003</v>
      </c>
      <c r="AL21" s="120">
        <v>2014</v>
      </c>
      <c r="AM21" s="120" t="s">
        <v>2469</v>
      </c>
    </row>
    <row r="22" spans="1:39">
      <c r="A22" s="3" t="s">
        <v>714</v>
      </c>
      <c r="B22" s="3" t="s">
        <v>530</v>
      </c>
      <c r="C22" s="3">
        <v>14</v>
      </c>
      <c r="D22" s="3" t="s">
        <v>641</v>
      </c>
      <c r="E22" s="154">
        <v>0.125</v>
      </c>
      <c r="F22" s="154">
        <v>0.125</v>
      </c>
      <c r="G22" s="154">
        <v>0.125</v>
      </c>
      <c r="H22" s="154">
        <v>0.1</v>
      </c>
      <c r="I22" s="154">
        <v>7.4999999999999997E-2</v>
      </c>
      <c r="J22" s="154">
        <v>7.4999999999999997E-2</v>
      </c>
      <c r="K22" s="154">
        <v>0.125</v>
      </c>
      <c r="L22" s="154">
        <v>0.125</v>
      </c>
      <c r="M22" s="154">
        <v>0.15</v>
      </c>
      <c r="N22" s="154">
        <v>0.15</v>
      </c>
      <c r="O22" s="154">
        <v>0.25</v>
      </c>
      <c r="P22" s="154">
        <v>0.25</v>
      </c>
      <c r="Q22" s="154">
        <v>0.27500000000000002</v>
      </c>
      <c r="R22" s="154">
        <v>0.27500000000000002</v>
      </c>
      <c r="S22" s="154">
        <v>0.3</v>
      </c>
      <c r="T22" s="154">
        <v>0.3</v>
      </c>
      <c r="U22" s="154">
        <v>0.3</v>
      </c>
      <c r="V22" s="154">
        <v>0.3</v>
      </c>
      <c r="W22" s="154">
        <v>0.3</v>
      </c>
      <c r="X22" s="154">
        <v>0.3</v>
      </c>
      <c r="Y22" s="154">
        <v>0.25714285714285712</v>
      </c>
      <c r="Z22" s="154">
        <v>0.25714285714285712</v>
      </c>
      <c r="AA22" s="154">
        <v>0.2857142857142857</v>
      </c>
      <c r="AB22" s="154">
        <v>0.2857142857142857</v>
      </c>
      <c r="AC22" s="154">
        <v>0.3</v>
      </c>
      <c r="AD22" s="154">
        <v>0.3</v>
      </c>
      <c r="AE22" s="154">
        <v>0.22500000000000001</v>
      </c>
      <c r="AF22" s="154">
        <v>0.25</v>
      </c>
      <c r="AG22" s="154">
        <v>0.3</v>
      </c>
      <c r="AH22" s="154">
        <v>0.3</v>
      </c>
      <c r="AI22" s="154">
        <v>0.3</v>
      </c>
      <c r="AJ22" s="11">
        <f t="shared" si="0"/>
        <v>31</v>
      </c>
      <c r="AK22" s="120">
        <v>1984</v>
      </c>
      <c r="AL22" s="120">
        <v>2014</v>
      </c>
      <c r="AM22" s="120" t="s">
        <v>2470</v>
      </c>
    </row>
    <row r="23" spans="1:39">
      <c r="A23" s="3" t="s">
        <v>620</v>
      </c>
      <c r="B23" s="3" t="s">
        <v>621</v>
      </c>
      <c r="C23" s="3">
        <v>15</v>
      </c>
      <c r="D23" s="3" t="s">
        <v>541</v>
      </c>
      <c r="E23" s="154"/>
      <c r="F23" s="154"/>
      <c r="G23" s="154"/>
      <c r="H23" s="154"/>
      <c r="I23" s="154"/>
      <c r="J23" s="154"/>
      <c r="K23" s="154"/>
      <c r="L23" s="154"/>
      <c r="M23" s="154"/>
      <c r="N23" s="154"/>
      <c r="O23" s="154"/>
      <c r="P23" s="154"/>
      <c r="Q23" s="154"/>
      <c r="R23" s="154"/>
      <c r="S23" s="154">
        <v>0.31428571428571428</v>
      </c>
      <c r="T23" s="154">
        <v>0.31428571428571428</v>
      </c>
      <c r="U23" s="154">
        <v>0.31428571428571428</v>
      </c>
      <c r="V23" s="154">
        <v>0.31428571428571428</v>
      </c>
      <c r="W23" s="154">
        <v>0.2857142857142857</v>
      </c>
      <c r="X23" s="154">
        <v>0.2857142857142857</v>
      </c>
      <c r="Y23" s="154">
        <v>0.2857142857142857</v>
      </c>
      <c r="Z23" s="154">
        <v>0.2857142857142857</v>
      </c>
      <c r="AA23" s="154">
        <v>0.2857142857142857</v>
      </c>
      <c r="AB23" s="154">
        <v>0.2857142857142857</v>
      </c>
      <c r="AC23" s="154">
        <v>0.31428571428571428</v>
      </c>
      <c r="AD23" s="154">
        <v>0.31428571428571428</v>
      </c>
      <c r="AE23" s="154">
        <v>0.31428571428571428</v>
      </c>
      <c r="AF23" s="154">
        <v>0.2857142857142857</v>
      </c>
      <c r="AG23" s="154">
        <v>0.25714285714285712</v>
      </c>
      <c r="AH23" s="154">
        <v>0.22857142857142856</v>
      </c>
      <c r="AI23" s="154">
        <v>0.25714285714285712</v>
      </c>
      <c r="AJ23" s="11">
        <f t="shared" si="0"/>
        <v>17</v>
      </c>
      <c r="AK23" s="120">
        <v>1998</v>
      </c>
      <c r="AL23" s="120">
        <v>2014</v>
      </c>
      <c r="AM23" s="120" t="s">
        <v>2471</v>
      </c>
    </row>
    <row r="24" spans="1:39">
      <c r="A24" s="3" t="s">
        <v>622</v>
      </c>
      <c r="B24" s="3" t="s">
        <v>925</v>
      </c>
      <c r="C24" s="3">
        <v>16</v>
      </c>
      <c r="D24" s="3" t="s">
        <v>541</v>
      </c>
      <c r="E24" s="154"/>
      <c r="F24" s="154"/>
      <c r="G24" s="154"/>
      <c r="H24" s="154"/>
      <c r="I24" s="154"/>
      <c r="J24" s="154"/>
      <c r="K24" s="154"/>
      <c r="L24" s="154"/>
      <c r="M24" s="154"/>
      <c r="N24" s="154"/>
      <c r="O24" s="154">
        <v>0.16279069767441862</v>
      </c>
      <c r="P24" s="154"/>
      <c r="Q24" s="154"/>
      <c r="R24" s="154"/>
      <c r="S24" s="154"/>
      <c r="T24" s="154"/>
      <c r="U24" s="154">
        <v>0.23255813953488372</v>
      </c>
      <c r="V24" s="154">
        <v>0.23255813953488372</v>
      </c>
      <c r="W24" s="154">
        <v>0.23255813953488372</v>
      </c>
      <c r="X24" s="154">
        <v>0.23255813953488372</v>
      </c>
      <c r="Y24" s="154">
        <v>0.37209302325581395</v>
      </c>
      <c r="Z24" s="154">
        <v>0.37209302325581395</v>
      </c>
      <c r="AA24" s="154">
        <v>0.37209302325581395</v>
      </c>
      <c r="AB24" s="154">
        <v>0.34883720930232559</v>
      </c>
      <c r="AC24" s="154">
        <v>0.39534883720930231</v>
      </c>
      <c r="AD24" s="154">
        <v>0.39534883720930231</v>
      </c>
      <c r="AE24" s="154">
        <v>0.41860465116279072</v>
      </c>
      <c r="AF24" s="154">
        <v>0.41860465116279072</v>
      </c>
      <c r="AG24" s="154">
        <v>0.39130434782608697</v>
      </c>
      <c r="AH24" s="154">
        <v>0.41304347826086957</v>
      </c>
      <c r="AI24" s="154">
        <v>0.39130434782608697</v>
      </c>
      <c r="AJ24" s="11">
        <f t="shared" si="0"/>
        <v>16</v>
      </c>
      <c r="AK24" s="120">
        <v>2000</v>
      </c>
      <c r="AL24" s="120">
        <v>2014</v>
      </c>
      <c r="AM24" s="120" t="s">
        <v>2472</v>
      </c>
    </row>
    <row r="25" spans="1:39">
      <c r="A25" s="3" t="s">
        <v>926</v>
      </c>
      <c r="B25" s="3" t="s">
        <v>927</v>
      </c>
      <c r="C25" s="3">
        <v>17</v>
      </c>
      <c r="D25" s="3" t="s">
        <v>664</v>
      </c>
      <c r="E25" s="154"/>
      <c r="F25" s="158"/>
      <c r="G25" s="154"/>
      <c r="H25" s="158"/>
      <c r="I25" s="154"/>
      <c r="J25" s="158"/>
      <c r="K25" s="154"/>
      <c r="L25" s="158"/>
      <c r="M25" s="154"/>
      <c r="N25" s="158"/>
      <c r="O25" s="154"/>
      <c r="P25" s="158"/>
      <c r="Q25" s="154"/>
      <c r="R25" s="158"/>
      <c r="S25" s="154"/>
      <c r="T25" s="158"/>
      <c r="U25" s="154"/>
      <c r="V25" s="158"/>
      <c r="W25" s="154"/>
      <c r="X25" s="158"/>
      <c r="Y25" s="154"/>
      <c r="Z25" s="158"/>
      <c r="AA25" s="154"/>
      <c r="AB25" s="158"/>
      <c r="AC25" s="154">
        <v>0.26666666666666666</v>
      </c>
      <c r="AD25" s="154"/>
      <c r="AE25" s="154">
        <v>0.2</v>
      </c>
      <c r="AF25" s="154"/>
      <c r="AG25" s="154">
        <v>0.18333333333333332</v>
      </c>
      <c r="AH25" s="154">
        <v>0.2</v>
      </c>
      <c r="AI25" s="154">
        <v>0.23333333333333334</v>
      </c>
      <c r="AJ25" s="11">
        <f t="shared" si="0"/>
        <v>5</v>
      </c>
      <c r="AK25" s="120"/>
      <c r="AL25" s="120"/>
      <c r="AM25" s="120" t="s">
        <v>2473</v>
      </c>
    </row>
    <row r="26" spans="1:39">
      <c r="A26" s="3" t="s">
        <v>928</v>
      </c>
      <c r="B26" s="3" t="s">
        <v>929</v>
      </c>
      <c r="C26" s="3">
        <v>18</v>
      </c>
      <c r="D26" s="3" t="s">
        <v>713</v>
      </c>
      <c r="E26" s="154">
        <v>0.13333333333333333</v>
      </c>
      <c r="F26" s="154">
        <v>0.13333333333333333</v>
      </c>
      <c r="G26" s="154">
        <v>6.6666666666666666E-2</v>
      </c>
      <c r="H26" s="154">
        <v>6.6666666666666666E-2</v>
      </c>
      <c r="I26" s="154">
        <v>0</v>
      </c>
      <c r="J26" s="154">
        <v>0</v>
      </c>
      <c r="K26" s="154">
        <v>0</v>
      </c>
      <c r="L26" s="154">
        <v>0</v>
      </c>
      <c r="M26" s="154">
        <v>0.16666666666666666</v>
      </c>
      <c r="N26" s="154">
        <v>0.16666666666666666</v>
      </c>
      <c r="O26" s="154">
        <v>0.16666666666666666</v>
      </c>
      <c r="P26" s="154">
        <v>0.16666666666666666</v>
      </c>
      <c r="Q26" s="154">
        <v>0.13333333333333333</v>
      </c>
      <c r="R26" s="154">
        <v>0.13333333333333333</v>
      </c>
      <c r="S26" s="154">
        <v>0.13333333333333333</v>
      </c>
      <c r="T26" s="154">
        <v>0.13333333333333333</v>
      </c>
      <c r="U26" s="154">
        <v>0.1111111111111111</v>
      </c>
      <c r="V26" s="154">
        <v>0.1111111111111111</v>
      </c>
      <c r="W26" s="154">
        <v>0.1111111111111111</v>
      </c>
      <c r="X26" s="154">
        <v>0.13333333333333333</v>
      </c>
      <c r="Y26" s="154">
        <v>0.14705882352941177</v>
      </c>
      <c r="Z26" s="154">
        <v>0.14705882352941177</v>
      </c>
      <c r="AA26" s="154">
        <v>0.11764705882352941</v>
      </c>
      <c r="AB26" s="154">
        <v>0.11764705882352941</v>
      </c>
      <c r="AC26" s="154">
        <v>0.11764705882352941</v>
      </c>
      <c r="AD26" s="154">
        <v>0.14705882352941177</v>
      </c>
      <c r="AE26" s="154">
        <v>0.14705882352941177</v>
      </c>
      <c r="AF26" s="154">
        <v>0.14705882352941177</v>
      </c>
      <c r="AG26" s="154">
        <v>0.20588235294117646</v>
      </c>
      <c r="AH26" s="154">
        <v>0.23529411764705882</v>
      </c>
      <c r="AI26" s="154">
        <v>0.23529411764705882</v>
      </c>
      <c r="AJ26" s="11">
        <f t="shared" si="0"/>
        <v>31</v>
      </c>
      <c r="AK26" s="120">
        <v>1984</v>
      </c>
      <c r="AL26" s="120">
        <v>2014</v>
      </c>
      <c r="AM26" s="120" t="s">
        <v>2474</v>
      </c>
    </row>
    <row r="27" spans="1:39">
      <c r="A27" s="3" t="s">
        <v>841</v>
      </c>
      <c r="B27" s="3" t="s">
        <v>659</v>
      </c>
      <c r="C27" s="3">
        <v>19</v>
      </c>
      <c r="D27" s="3" t="s">
        <v>713</v>
      </c>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v>0.34883720930232559</v>
      </c>
      <c r="AD27" s="154">
        <v>0.34883720930232559</v>
      </c>
      <c r="AE27" s="154">
        <v>0.20930232558139536</v>
      </c>
      <c r="AF27" s="154">
        <v>0.20930232558139536</v>
      </c>
      <c r="AG27" s="154">
        <v>0.18604651162790697</v>
      </c>
      <c r="AH27" s="154">
        <v>0.20930232558139536</v>
      </c>
      <c r="AI27" s="154">
        <v>0.27906976744186046</v>
      </c>
      <c r="AJ27" s="11">
        <f t="shared" si="0"/>
        <v>7</v>
      </c>
      <c r="AK27" s="120">
        <v>2008</v>
      </c>
      <c r="AL27" s="120">
        <v>2014</v>
      </c>
      <c r="AM27" s="120" t="s">
        <v>2475</v>
      </c>
    </row>
    <row r="28" spans="1:39">
      <c r="A28" s="3" t="s">
        <v>660</v>
      </c>
      <c r="B28" s="3" t="s">
        <v>661</v>
      </c>
      <c r="C28" s="3">
        <v>20</v>
      </c>
      <c r="D28" s="3" t="s">
        <v>541</v>
      </c>
      <c r="E28" s="154">
        <v>0</v>
      </c>
      <c r="F28" s="154">
        <v>0</v>
      </c>
      <c r="G28" s="154"/>
      <c r="H28" s="154"/>
      <c r="I28" s="154"/>
      <c r="J28" s="154"/>
      <c r="K28" s="154">
        <v>0.125</v>
      </c>
      <c r="L28" s="154">
        <v>0.125</v>
      </c>
      <c r="M28" s="154">
        <v>0.125</v>
      </c>
      <c r="N28" s="154">
        <v>0.125</v>
      </c>
      <c r="O28" s="154">
        <v>0.20833333333333334</v>
      </c>
      <c r="P28" s="154">
        <v>0.20833333333333334</v>
      </c>
      <c r="Q28" s="154"/>
      <c r="R28" s="154"/>
      <c r="S28" s="154"/>
      <c r="T28" s="154"/>
      <c r="U28" s="154">
        <v>4.1666666666666664E-2</v>
      </c>
      <c r="V28" s="154">
        <v>4.1666666666666664E-2</v>
      </c>
      <c r="W28" s="154">
        <v>4.1666666666666664E-2</v>
      </c>
      <c r="X28" s="154">
        <v>4.1666666666666664E-2</v>
      </c>
      <c r="Y28" s="154">
        <v>0.125</v>
      </c>
      <c r="Z28" s="154">
        <v>0.125</v>
      </c>
      <c r="AA28" s="154">
        <v>0.16666666666666666</v>
      </c>
      <c r="AB28" s="154">
        <v>0.16666666666666666</v>
      </c>
      <c r="AC28" s="154">
        <v>0.20833333333333334</v>
      </c>
      <c r="AD28" s="154">
        <v>0.20833333333333334</v>
      </c>
      <c r="AE28" s="154">
        <v>0.20833333333333334</v>
      </c>
      <c r="AF28" s="154">
        <v>0.16666666666666666</v>
      </c>
      <c r="AG28" s="154">
        <v>0.16666666666666666</v>
      </c>
      <c r="AH28" s="154">
        <v>0.16666666666666666</v>
      </c>
      <c r="AI28" s="154">
        <v>0.16666666666666666</v>
      </c>
      <c r="AJ28" s="11">
        <f t="shared" si="0"/>
        <v>23</v>
      </c>
      <c r="AK28" s="120">
        <v>1998</v>
      </c>
      <c r="AL28" s="120">
        <v>2014</v>
      </c>
      <c r="AM28" s="120" t="s">
        <v>2476</v>
      </c>
    </row>
    <row r="29" spans="1:39">
      <c r="A29" s="3" t="s">
        <v>80</v>
      </c>
      <c r="B29" s="3" t="s">
        <v>747</v>
      </c>
      <c r="C29" s="3">
        <v>21</v>
      </c>
      <c r="D29" s="3" t="s">
        <v>759</v>
      </c>
      <c r="E29" s="154"/>
      <c r="F29" s="154"/>
      <c r="G29" s="154"/>
      <c r="H29" s="154"/>
      <c r="I29" s="154"/>
      <c r="J29" s="154"/>
      <c r="K29" s="154"/>
      <c r="L29" s="154"/>
      <c r="M29" s="154"/>
      <c r="N29" s="154"/>
      <c r="O29" s="154"/>
      <c r="P29" s="154"/>
      <c r="Q29" s="154"/>
      <c r="R29" s="154"/>
      <c r="S29" s="154"/>
      <c r="T29" s="154"/>
      <c r="U29" s="154"/>
      <c r="V29" s="154"/>
      <c r="W29" s="154"/>
      <c r="X29" s="154"/>
      <c r="Y29" s="154"/>
      <c r="Z29" s="154"/>
      <c r="AA29" s="154">
        <v>0.34</v>
      </c>
      <c r="AB29" s="154">
        <v>0.34</v>
      </c>
      <c r="AC29" s="154">
        <v>0.32</v>
      </c>
      <c r="AD29" s="154">
        <v>0.32</v>
      </c>
      <c r="AE29" s="154">
        <v>0.32</v>
      </c>
      <c r="AF29" s="154">
        <v>0.32</v>
      </c>
      <c r="AG29" s="154">
        <v>0.34</v>
      </c>
      <c r="AH29" s="154">
        <v>0.32</v>
      </c>
      <c r="AI29" s="154">
        <v>0.32</v>
      </c>
      <c r="AJ29" s="11">
        <f t="shared" si="0"/>
        <v>9</v>
      </c>
      <c r="AK29" s="120">
        <v>2006</v>
      </c>
      <c r="AL29" s="120">
        <v>2014</v>
      </c>
      <c r="AM29" s="120" t="s">
        <v>2478</v>
      </c>
    </row>
    <row r="30" spans="1:39">
      <c r="A30" s="3" t="s">
        <v>721</v>
      </c>
      <c r="B30" s="3" t="s">
        <v>722</v>
      </c>
      <c r="C30" s="3">
        <v>22</v>
      </c>
      <c r="D30" s="3" t="s">
        <v>664</v>
      </c>
      <c r="E30" s="156"/>
      <c r="F30" s="156"/>
      <c r="G30" s="156"/>
      <c r="H30" s="156"/>
      <c r="I30" s="156"/>
      <c r="J30" s="156"/>
      <c r="K30" s="156"/>
      <c r="L30" s="156"/>
      <c r="M30" s="156"/>
      <c r="N30" s="156"/>
      <c r="O30" s="157"/>
      <c r="P30" s="157"/>
      <c r="Q30" s="156"/>
      <c r="R30" s="156"/>
      <c r="S30" s="156"/>
      <c r="T30" s="156"/>
      <c r="U30" s="156"/>
      <c r="V30" s="156"/>
      <c r="W30" s="156"/>
      <c r="X30" s="156"/>
      <c r="Y30" s="157"/>
      <c r="Z30" s="156"/>
      <c r="AA30" s="156"/>
      <c r="AB30" s="156"/>
      <c r="AC30" s="156"/>
      <c r="AD30" s="156"/>
      <c r="AE30" s="156"/>
      <c r="AF30" s="156"/>
      <c r="AG30" s="156"/>
      <c r="AH30" s="156"/>
      <c r="AI30" s="154">
        <v>0.42499999999999999</v>
      </c>
      <c r="AJ30" s="11">
        <f t="shared" si="0"/>
        <v>1</v>
      </c>
      <c r="AK30" s="120"/>
      <c r="AL30" s="120"/>
      <c r="AM30" s="120" t="s">
        <v>2479</v>
      </c>
    </row>
    <row r="31" spans="1:39">
      <c r="A31" s="3" t="s">
        <v>723</v>
      </c>
      <c r="B31" s="3" t="s">
        <v>724</v>
      </c>
      <c r="C31" s="3">
        <v>23</v>
      </c>
      <c r="D31" s="3" t="s">
        <v>541</v>
      </c>
      <c r="E31" s="154">
        <v>6.6666666666666666E-2</v>
      </c>
      <c r="F31" s="154"/>
      <c r="G31" s="154"/>
      <c r="H31" s="154"/>
      <c r="I31" s="154"/>
      <c r="J31" s="154"/>
      <c r="K31" s="154">
        <v>0.2</v>
      </c>
      <c r="L31" s="154">
        <v>0.26666666666666666</v>
      </c>
      <c r="M31" s="154">
        <v>0.33333333333333331</v>
      </c>
      <c r="N31" s="154">
        <v>0.33333333333333331</v>
      </c>
      <c r="O31" s="154">
        <v>0.33333333333333331</v>
      </c>
      <c r="P31" s="154">
        <v>0.33333333333333331</v>
      </c>
      <c r="Q31" s="154">
        <v>0.13333333333333333</v>
      </c>
      <c r="R31" s="154">
        <v>0.13333333333333333</v>
      </c>
      <c r="S31" s="154">
        <v>0.13333333333333333</v>
      </c>
      <c r="T31" s="154">
        <v>0.2</v>
      </c>
      <c r="U31" s="154">
        <v>0.33333333333333331</v>
      </c>
      <c r="V31" s="154">
        <v>0.33333333333333331</v>
      </c>
      <c r="W31" s="154">
        <v>0.33333333333333331</v>
      </c>
      <c r="X31" s="154">
        <v>0.33333333333333331</v>
      </c>
      <c r="Y31" s="154">
        <v>0.33333333333333331</v>
      </c>
      <c r="Z31" s="154">
        <v>0.33333333333333331</v>
      </c>
      <c r="AA31" s="154">
        <v>0.33333333333333331</v>
      </c>
      <c r="AB31" s="154">
        <v>0.33333333333333331</v>
      </c>
      <c r="AC31" s="154">
        <v>0.26666666666666666</v>
      </c>
      <c r="AD31" s="154">
        <v>0.26666666666666666</v>
      </c>
      <c r="AE31" s="154">
        <v>0.26666666666666666</v>
      </c>
      <c r="AF31" s="154">
        <v>0.26666666666666666</v>
      </c>
      <c r="AG31" s="154">
        <v>0.4</v>
      </c>
      <c r="AH31" s="154">
        <v>0.4</v>
      </c>
      <c r="AI31" s="154">
        <v>0.4</v>
      </c>
      <c r="AJ31" s="11">
        <f t="shared" si="0"/>
        <v>26</v>
      </c>
      <c r="AK31" s="120">
        <v>1990</v>
      </c>
      <c r="AL31" s="120">
        <v>2014</v>
      </c>
      <c r="AM31" s="120" t="s">
        <v>2480</v>
      </c>
    </row>
    <row r="32" spans="1:39">
      <c r="A32" s="3" t="s">
        <v>725</v>
      </c>
      <c r="B32" s="3" t="s">
        <v>726</v>
      </c>
      <c r="C32" s="3">
        <v>24</v>
      </c>
      <c r="D32" s="3" t="s">
        <v>664</v>
      </c>
      <c r="E32" s="154"/>
      <c r="F32" s="154"/>
      <c r="G32" s="154"/>
      <c r="H32" s="154"/>
      <c r="I32" s="154"/>
      <c r="J32" s="154"/>
      <c r="K32" s="154"/>
      <c r="L32" s="157"/>
      <c r="M32" s="154"/>
      <c r="N32" s="154"/>
      <c r="O32" s="154"/>
      <c r="P32" s="154"/>
      <c r="Q32" s="154"/>
      <c r="R32" s="154"/>
      <c r="S32" s="154"/>
      <c r="T32" s="154"/>
      <c r="U32" s="154"/>
      <c r="V32" s="154"/>
      <c r="W32" s="154"/>
      <c r="X32" s="154"/>
      <c r="Y32" s="154">
        <v>0.15</v>
      </c>
      <c r="Z32" s="154">
        <v>0.15</v>
      </c>
      <c r="AA32" s="154">
        <v>0.15</v>
      </c>
      <c r="AB32" s="154">
        <v>0.15</v>
      </c>
      <c r="AC32" s="154">
        <v>0.24489795918367346</v>
      </c>
      <c r="AD32" s="154">
        <v>0.2857142857142857</v>
      </c>
      <c r="AE32" s="154">
        <v>0.26530612244897961</v>
      </c>
      <c r="AF32" s="154">
        <v>0.26530612244897961</v>
      </c>
      <c r="AG32" s="154">
        <v>0.22448979591836735</v>
      </c>
      <c r="AH32" s="154">
        <v>0.24489795918367346</v>
      </c>
      <c r="AI32" s="154">
        <v>0.22448979591836735</v>
      </c>
      <c r="AJ32" s="11">
        <f t="shared" si="0"/>
        <v>11</v>
      </c>
      <c r="AK32" s="120">
        <v>2004</v>
      </c>
      <c r="AL32" s="120">
        <v>2014</v>
      </c>
      <c r="AM32" s="120" t="s">
        <v>2481</v>
      </c>
    </row>
    <row r="33" spans="1:39">
      <c r="A33" s="117" t="s">
        <v>2482</v>
      </c>
      <c r="B33" s="3"/>
      <c r="C33" s="3"/>
      <c r="D33" s="3"/>
      <c r="E33" s="125">
        <f t="shared" ref="E33:AI33" si="1">COUNTA(E9:E32)</f>
        <v>12</v>
      </c>
      <c r="F33" s="125">
        <f t="shared" si="1"/>
        <v>8</v>
      </c>
      <c r="G33" s="125">
        <f t="shared" si="1"/>
        <v>8</v>
      </c>
      <c r="H33" s="125">
        <f t="shared" si="1"/>
        <v>7</v>
      </c>
      <c r="I33" s="125">
        <f t="shared" si="1"/>
        <v>9</v>
      </c>
      <c r="J33" s="125">
        <f t="shared" si="1"/>
        <v>7</v>
      </c>
      <c r="K33" s="125">
        <f t="shared" si="1"/>
        <v>11</v>
      </c>
      <c r="L33" s="125">
        <f t="shared" si="1"/>
        <v>9</v>
      </c>
      <c r="M33" s="125">
        <f t="shared" si="1"/>
        <v>12</v>
      </c>
      <c r="N33" s="125">
        <f t="shared" si="1"/>
        <v>9</v>
      </c>
      <c r="O33" s="125">
        <f t="shared" si="1"/>
        <v>12</v>
      </c>
      <c r="P33" s="125">
        <f t="shared" si="1"/>
        <v>9</v>
      </c>
      <c r="Q33" s="125">
        <f t="shared" si="1"/>
        <v>11</v>
      </c>
      <c r="R33" s="125">
        <f t="shared" si="1"/>
        <v>8</v>
      </c>
      <c r="S33" s="125">
        <f t="shared" si="1"/>
        <v>12</v>
      </c>
      <c r="T33" s="125">
        <f t="shared" si="1"/>
        <v>10</v>
      </c>
      <c r="U33" s="125">
        <f t="shared" si="1"/>
        <v>15</v>
      </c>
      <c r="V33" s="125">
        <f t="shared" si="1"/>
        <v>13</v>
      </c>
      <c r="W33" s="125">
        <f t="shared" si="1"/>
        <v>14</v>
      </c>
      <c r="X33" s="125">
        <f t="shared" si="1"/>
        <v>15</v>
      </c>
      <c r="Y33" s="125">
        <f t="shared" si="1"/>
        <v>19</v>
      </c>
      <c r="Z33" s="125">
        <f t="shared" si="1"/>
        <v>18</v>
      </c>
      <c r="AA33" s="125">
        <f t="shared" si="1"/>
        <v>18</v>
      </c>
      <c r="AB33" s="125">
        <f t="shared" si="1"/>
        <v>18</v>
      </c>
      <c r="AC33" s="125">
        <f t="shared" si="1"/>
        <v>21</v>
      </c>
      <c r="AD33" s="125">
        <f t="shared" si="1"/>
        <v>19</v>
      </c>
      <c r="AE33" s="125">
        <f t="shared" si="1"/>
        <v>22</v>
      </c>
      <c r="AF33" s="125">
        <f t="shared" si="1"/>
        <v>19</v>
      </c>
      <c r="AG33" s="125">
        <f t="shared" si="1"/>
        <v>23</v>
      </c>
      <c r="AH33" s="125">
        <f t="shared" si="1"/>
        <v>22</v>
      </c>
      <c r="AI33" s="125">
        <f t="shared" si="1"/>
        <v>24</v>
      </c>
      <c r="AJ33" s="11">
        <f>SUM(E33:AI34)</f>
        <v>434</v>
      </c>
      <c r="AK33" s="120">
        <f>31*24</f>
        <v>744</v>
      </c>
      <c r="AL33" s="144">
        <f>AJ33/AK33</f>
        <v>0.58333333333333337</v>
      </c>
      <c r="AM33" s="120"/>
    </row>
    <row r="34" spans="1:39">
      <c r="A34" s="3"/>
      <c r="B34" s="3"/>
      <c r="C34" s="3"/>
      <c r="D34" s="3"/>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41" t="s">
        <v>2414</v>
      </c>
      <c r="AK34" s="142" t="s">
        <v>2415</v>
      </c>
      <c r="AL34" s="142" t="s">
        <v>2416</v>
      </c>
      <c r="AM34" s="120"/>
    </row>
    <row r="35" spans="1:39" ht="66">
      <c r="A35" s="135" t="s">
        <v>728</v>
      </c>
      <c r="B35" s="7"/>
      <c r="C35" s="7"/>
      <c r="D35" s="7"/>
      <c r="E35" s="7" t="s">
        <v>2488</v>
      </c>
      <c r="F35" s="7" t="s">
        <v>2488</v>
      </c>
      <c r="G35" s="7" t="s">
        <v>2488</v>
      </c>
      <c r="H35" s="7" t="s">
        <v>2488</v>
      </c>
      <c r="I35" s="7" t="s">
        <v>2488</v>
      </c>
      <c r="J35" s="7" t="s">
        <v>2488</v>
      </c>
      <c r="K35" s="7" t="s">
        <v>2488</v>
      </c>
      <c r="L35" s="7" t="s">
        <v>2488</v>
      </c>
      <c r="M35" s="7" t="s">
        <v>2488</v>
      </c>
      <c r="N35" s="7" t="s">
        <v>2488</v>
      </c>
      <c r="O35" s="7" t="s">
        <v>2488</v>
      </c>
      <c r="P35" s="7" t="s">
        <v>2488</v>
      </c>
      <c r="Q35" s="7" t="s">
        <v>2488</v>
      </c>
      <c r="R35" s="7" t="s">
        <v>2488</v>
      </c>
      <c r="S35" s="7" t="s">
        <v>2488</v>
      </c>
      <c r="T35" s="7" t="s">
        <v>2488</v>
      </c>
      <c r="U35" s="7" t="s">
        <v>2488</v>
      </c>
      <c r="V35" s="7" t="s">
        <v>2488</v>
      </c>
      <c r="W35" s="7" t="s">
        <v>2488</v>
      </c>
      <c r="X35" s="7" t="s">
        <v>2488</v>
      </c>
      <c r="Y35" s="7" t="s">
        <v>2488</v>
      </c>
      <c r="Z35" s="7" t="s">
        <v>2488</v>
      </c>
      <c r="AA35" s="7" t="s">
        <v>2488</v>
      </c>
      <c r="AB35" s="7" t="s">
        <v>2488</v>
      </c>
      <c r="AC35" s="7" t="s">
        <v>2488</v>
      </c>
      <c r="AD35" s="7" t="s">
        <v>2488</v>
      </c>
      <c r="AE35" s="7" t="s">
        <v>2488</v>
      </c>
      <c r="AF35" s="7" t="s">
        <v>2488</v>
      </c>
      <c r="AG35" s="7" t="s">
        <v>2488</v>
      </c>
      <c r="AH35" s="7" t="s">
        <v>2488</v>
      </c>
      <c r="AI35" s="7" t="s">
        <v>2488</v>
      </c>
      <c r="AJ35" s="7"/>
      <c r="AK35" s="7"/>
      <c r="AL35" s="7"/>
      <c r="AM35" s="7"/>
    </row>
    <row r="36" spans="1:39" ht="121">
      <c r="A36" s="135" t="s">
        <v>2212</v>
      </c>
      <c r="B36" s="7"/>
      <c r="C36" s="7"/>
      <c r="D36" s="7"/>
      <c r="E36" s="151" t="s">
        <v>2487</v>
      </c>
      <c r="F36" s="151" t="s">
        <v>2487</v>
      </c>
      <c r="G36" s="151" t="s">
        <v>2487</v>
      </c>
      <c r="H36" s="151" t="s">
        <v>2487</v>
      </c>
      <c r="I36" s="151" t="s">
        <v>2487</v>
      </c>
      <c r="J36" s="151" t="s">
        <v>2487</v>
      </c>
      <c r="K36" s="151" t="s">
        <v>2487</v>
      </c>
      <c r="L36" s="151" t="s">
        <v>2487</v>
      </c>
      <c r="M36" s="151" t="s">
        <v>2487</v>
      </c>
      <c r="N36" s="151" t="s">
        <v>2487</v>
      </c>
      <c r="O36" s="151" t="s">
        <v>2487</v>
      </c>
      <c r="P36" s="151" t="s">
        <v>2487</v>
      </c>
      <c r="Q36" s="151" t="s">
        <v>2487</v>
      </c>
      <c r="R36" s="151" t="s">
        <v>2487</v>
      </c>
      <c r="S36" s="151" t="s">
        <v>2487</v>
      </c>
      <c r="T36" s="151" t="s">
        <v>2487</v>
      </c>
      <c r="U36" s="151" t="s">
        <v>2487</v>
      </c>
      <c r="V36" s="151" t="s">
        <v>2487</v>
      </c>
      <c r="W36" s="151" t="s">
        <v>2487</v>
      </c>
      <c r="X36" s="151" t="s">
        <v>2487</v>
      </c>
      <c r="Y36" s="151" t="s">
        <v>2487</v>
      </c>
      <c r="Z36" s="151" t="s">
        <v>2487</v>
      </c>
      <c r="AA36" s="151" t="s">
        <v>2487</v>
      </c>
      <c r="AB36" s="151" t="s">
        <v>2487</v>
      </c>
      <c r="AC36" s="151" t="s">
        <v>2487</v>
      </c>
      <c r="AD36" s="151" t="s">
        <v>2487</v>
      </c>
      <c r="AE36" s="151" t="s">
        <v>2487</v>
      </c>
      <c r="AF36" s="151" t="s">
        <v>2487</v>
      </c>
      <c r="AG36" s="151" t="s">
        <v>2487</v>
      </c>
      <c r="AH36" s="151" t="s">
        <v>2487</v>
      </c>
      <c r="AI36" s="151" t="s">
        <v>2487</v>
      </c>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selection activeCell="N35" sqref="N35"/>
    </sheetView>
  </sheetViews>
  <sheetFormatPr baseColWidth="10" defaultRowHeight="13" x14ac:dyDescent="0"/>
  <cols>
    <col min="1" max="1" width="15.140625" style="3" customWidth="1"/>
    <col min="2" max="3" width="5.7109375" style="3" customWidth="1"/>
    <col min="4" max="20" width="10.7109375" style="3"/>
  </cols>
  <sheetData>
    <row r="1" spans="1:20">
      <c r="A1" s="137" t="s">
        <v>2404</v>
      </c>
    </row>
    <row r="2" spans="1:20">
      <c r="A2" s="1" t="s">
        <v>614</v>
      </c>
      <c r="B2" s="1"/>
      <c r="C2" s="1"/>
      <c r="D2" s="1"/>
      <c r="E2" s="1" t="s">
        <v>1309</v>
      </c>
      <c r="F2" s="1" t="s">
        <v>1321</v>
      </c>
      <c r="G2" s="1" t="s">
        <v>1309</v>
      </c>
      <c r="H2" s="1" t="s">
        <v>1309</v>
      </c>
      <c r="I2" s="1" t="s">
        <v>1321</v>
      </c>
      <c r="J2" s="1" t="s">
        <v>1321</v>
      </c>
      <c r="K2" s="1" t="s">
        <v>1321</v>
      </c>
      <c r="L2" s="1" t="s">
        <v>1321</v>
      </c>
      <c r="M2" s="1" t="s">
        <v>1309</v>
      </c>
      <c r="N2" s="1" t="s">
        <v>1309</v>
      </c>
      <c r="O2" s="1" t="s">
        <v>1309</v>
      </c>
      <c r="P2" s="1" t="s">
        <v>1309</v>
      </c>
      <c r="Q2" s="1" t="s">
        <v>1309</v>
      </c>
      <c r="R2" s="1" t="s">
        <v>1309</v>
      </c>
      <c r="S2" s="1" t="s">
        <v>1309</v>
      </c>
      <c r="T2" s="1" t="s">
        <v>1309</v>
      </c>
    </row>
    <row r="3" spans="1:20">
      <c r="A3" s="1" t="s">
        <v>518</v>
      </c>
      <c r="B3" s="1"/>
      <c r="C3" s="1"/>
      <c r="D3" s="1"/>
      <c r="E3" s="1" t="s">
        <v>2085</v>
      </c>
      <c r="F3" s="1" t="s">
        <v>2084</v>
      </c>
      <c r="G3" s="1" t="s">
        <v>1519</v>
      </c>
      <c r="H3" s="1" t="s">
        <v>1519</v>
      </c>
      <c r="I3" s="1" t="s">
        <v>1322</v>
      </c>
      <c r="J3" s="1" t="s">
        <v>1322</v>
      </c>
      <c r="K3" s="1" t="s">
        <v>1322</v>
      </c>
      <c r="L3" s="1" t="s">
        <v>1322</v>
      </c>
      <c r="M3" s="1" t="s">
        <v>1519</v>
      </c>
      <c r="N3" s="1" t="s">
        <v>1519</v>
      </c>
      <c r="O3" s="1" t="s">
        <v>1519</v>
      </c>
      <c r="P3" s="1" t="s">
        <v>1519</v>
      </c>
      <c r="Q3" s="1" t="s">
        <v>1519</v>
      </c>
      <c r="R3" s="1" t="s">
        <v>1519</v>
      </c>
      <c r="S3" s="1" t="s">
        <v>1519</v>
      </c>
      <c r="T3" s="1" t="s">
        <v>1519</v>
      </c>
    </row>
    <row r="4" spans="1:20">
      <c r="A4" s="1" t="s">
        <v>736</v>
      </c>
      <c r="B4" s="1"/>
      <c r="C4" s="1"/>
      <c r="D4" s="1"/>
      <c r="E4" s="1" t="s">
        <v>1885</v>
      </c>
      <c r="F4" s="1"/>
      <c r="G4" s="1" t="s">
        <v>1885</v>
      </c>
      <c r="H4" s="1" t="s">
        <v>1885</v>
      </c>
      <c r="I4" s="1" t="s">
        <v>1885</v>
      </c>
      <c r="J4" s="1" t="s">
        <v>1885</v>
      </c>
      <c r="K4" s="1" t="s">
        <v>1885</v>
      </c>
      <c r="L4" s="1" t="s">
        <v>1885</v>
      </c>
      <c r="M4" s="1" t="s">
        <v>1885</v>
      </c>
      <c r="N4" s="1" t="s">
        <v>1885</v>
      </c>
      <c r="O4" s="1" t="s">
        <v>1885</v>
      </c>
      <c r="P4" s="1" t="s">
        <v>1885</v>
      </c>
      <c r="Q4" s="1" t="s">
        <v>1885</v>
      </c>
      <c r="R4" s="1" t="s">
        <v>1885</v>
      </c>
      <c r="S4" s="1" t="s">
        <v>1885</v>
      </c>
      <c r="T4" s="1" t="s">
        <v>1885</v>
      </c>
    </row>
    <row r="5" spans="1:20">
      <c r="A5" s="1" t="s">
        <v>737</v>
      </c>
      <c r="B5" s="1"/>
      <c r="C5" s="1"/>
      <c r="D5" s="1"/>
      <c r="E5" s="1" t="s">
        <v>1568</v>
      </c>
      <c r="F5" s="1" t="s">
        <v>1820</v>
      </c>
      <c r="G5" s="1" t="s">
        <v>1568</v>
      </c>
      <c r="H5" s="1" t="s">
        <v>1587</v>
      </c>
      <c r="I5" s="1" t="s">
        <v>1525</v>
      </c>
      <c r="J5" s="1" t="s">
        <v>1525</v>
      </c>
      <c r="K5" s="1" t="s">
        <v>1525</v>
      </c>
      <c r="L5" s="1" t="s">
        <v>1525</v>
      </c>
      <c r="M5" s="1" t="s">
        <v>1568</v>
      </c>
      <c r="N5" s="1" t="s">
        <v>1587</v>
      </c>
      <c r="O5" s="1" t="s">
        <v>1</v>
      </c>
      <c r="P5" s="1" t="s">
        <v>1568</v>
      </c>
      <c r="Q5" s="1" t="s">
        <v>238</v>
      </c>
      <c r="R5" s="1" t="s">
        <v>1585</v>
      </c>
      <c r="S5" s="1" t="s">
        <v>2086</v>
      </c>
      <c r="T5" s="1" t="s">
        <v>1919</v>
      </c>
    </row>
    <row r="6" spans="1:20" s="215" customFormat="1">
      <c r="A6" s="8" t="s">
        <v>560</v>
      </c>
      <c r="B6" s="8"/>
      <c r="C6" s="8"/>
      <c r="D6" s="8"/>
      <c r="E6" s="8">
        <v>1991</v>
      </c>
      <c r="F6" s="8" t="s">
        <v>1821</v>
      </c>
      <c r="G6" s="8">
        <v>1999</v>
      </c>
      <c r="H6" s="8">
        <v>1999</v>
      </c>
      <c r="I6" s="8">
        <v>1999</v>
      </c>
      <c r="J6" s="8">
        <v>1999</v>
      </c>
      <c r="K6" s="8">
        <v>2001</v>
      </c>
      <c r="L6" s="8" t="s">
        <v>1801</v>
      </c>
      <c r="M6" s="8">
        <v>2003</v>
      </c>
      <c r="N6" s="8" t="s">
        <v>1571</v>
      </c>
      <c r="O6" s="8" t="s">
        <v>6</v>
      </c>
      <c r="P6" s="8">
        <v>2007</v>
      </c>
      <c r="Q6" s="8">
        <v>2007</v>
      </c>
      <c r="R6" s="8">
        <v>2008</v>
      </c>
      <c r="S6" s="8" t="s">
        <v>1907</v>
      </c>
      <c r="T6" s="8" t="s">
        <v>1812</v>
      </c>
    </row>
    <row r="7" spans="1:20" ht="99">
      <c r="A7" s="7" t="s">
        <v>3334</v>
      </c>
      <c r="B7" s="1"/>
      <c r="C7" s="1"/>
      <c r="D7" s="1"/>
      <c r="E7" s="1" t="s">
        <v>2088</v>
      </c>
      <c r="F7" s="1" t="s">
        <v>1823</v>
      </c>
      <c r="G7" s="1" t="s">
        <v>1593</v>
      </c>
      <c r="H7" s="1" t="s">
        <v>1593</v>
      </c>
      <c r="I7" s="1" t="s">
        <v>1572</v>
      </c>
      <c r="J7" s="1" t="s">
        <v>1569</v>
      </c>
      <c r="K7" s="1" t="s">
        <v>1570</v>
      </c>
      <c r="L7" s="1" t="s">
        <v>1573</v>
      </c>
      <c r="M7" s="1" t="s">
        <v>1593</v>
      </c>
      <c r="N7" s="1" t="s">
        <v>1596</v>
      </c>
      <c r="O7" s="1" t="s">
        <v>1817</v>
      </c>
      <c r="P7" s="1" t="s">
        <v>1595</v>
      </c>
      <c r="Q7" s="1" t="s">
        <v>1595</v>
      </c>
      <c r="R7" s="1" t="s">
        <v>1594</v>
      </c>
      <c r="S7" s="1" t="s">
        <v>1921</v>
      </c>
      <c r="T7" s="1" t="s">
        <v>1920</v>
      </c>
    </row>
    <row r="8" spans="1:20">
      <c r="A8" s="9" t="s">
        <v>572</v>
      </c>
      <c r="B8" s="9" t="s">
        <v>770</v>
      </c>
      <c r="C8" s="9" t="s">
        <v>771</v>
      </c>
      <c r="D8" s="9" t="s">
        <v>772</v>
      </c>
      <c r="E8" s="46" t="s">
        <v>1633</v>
      </c>
      <c r="F8" s="46" t="s">
        <v>1822</v>
      </c>
      <c r="G8" s="9" t="s">
        <v>1668</v>
      </c>
      <c r="H8" s="9" t="s">
        <v>1672</v>
      </c>
      <c r="I8" s="9" t="s">
        <v>1556</v>
      </c>
      <c r="J8" s="9" t="s">
        <v>1575</v>
      </c>
      <c r="K8" s="9" t="s">
        <v>1584</v>
      </c>
      <c r="L8" s="9" t="s">
        <v>1555</v>
      </c>
      <c r="M8" s="9" t="s">
        <v>1669</v>
      </c>
      <c r="N8" s="9" t="s">
        <v>1673</v>
      </c>
      <c r="O8" s="9" t="s">
        <v>0</v>
      </c>
      <c r="P8" s="9" t="s">
        <v>1670</v>
      </c>
      <c r="Q8" s="9" t="s">
        <v>239</v>
      </c>
      <c r="R8" s="9" t="s">
        <v>1671</v>
      </c>
      <c r="S8" s="9" t="s">
        <v>1922</v>
      </c>
      <c r="T8" s="9" t="s">
        <v>1917</v>
      </c>
    </row>
    <row r="9" spans="1:20">
      <c r="A9" s="3" t="s">
        <v>850</v>
      </c>
      <c r="B9" s="3" t="s">
        <v>851</v>
      </c>
      <c r="C9" s="3">
        <v>1</v>
      </c>
      <c r="D9" s="3" t="s">
        <v>759</v>
      </c>
      <c r="E9" s="54">
        <v>7.608695652173914</v>
      </c>
      <c r="F9" s="49">
        <v>26</v>
      </c>
      <c r="G9" s="48">
        <v>31.5</v>
      </c>
      <c r="H9" s="48">
        <v>28.26</v>
      </c>
      <c r="I9" s="48">
        <v>22.463768115942027</v>
      </c>
      <c r="J9" s="48">
        <v>31</v>
      </c>
      <c r="K9" s="48">
        <v>40</v>
      </c>
      <c r="L9" s="48">
        <v>28.985507246376812</v>
      </c>
      <c r="M9" s="48">
        <v>31.5</v>
      </c>
      <c r="N9" s="48">
        <v>31.52</v>
      </c>
      <c r="O9" s="47">
        <v>32.6</v>
      </c>
      <c r="P9" s="47">
        <v>29.347826086956523</v>
      </c>
      <c r="Q9" s="47">
        <f>(27/92)*100</f>
        <v>29.347826086956523</v>
      </c>
      <c r="R9" s="47">
        <v>26.8</v>
      </c>
      <c r="S9" s="47">
        <v>23.91</v>
      </c>
      <c r="T9" s="47">
        <v>27.17</v>
      </c>
    </row>
    <row r="10" spans="1:20">
      <c r="A10" s="3" t="s">
        <v>667</v>
      </c>
      <c r="B10" s="3" t="s">
        <v>668</v>
      </c>
      <c r="C10" s="3">
        <v>2</v>
      </c>
      <c r="D10" s="3" t="s">
        <v>759</v>
      </c>
      <c r="E10" s="47"/>
      <c r="F10" s="46">
        <v>22</v>
      </c>
      <c r="G10" s="50">
        <v>36.700000000000003</v>
      </c>
      <c r="H10" s="50">
        <v>36.67</v>
      </c>
      <c r="I10" s="50">
        <v>35</v>
      </c>
      <c r="J10" s="50">
        <v>21</v>
      </c>
      <c r="K10" s="50">
        <v>20</v>
      </c>
      <c r="L10" s="50">
        <v>33.299999999999997</v>
      </c>
      <c r="M10" s="50">
        <v>38.299999999999997</v>
      </c>
      <c r="N10" s="50">
        <v>38.33</v>
      </c>
      <c r="O10" s="47"/>
      <c r="P10" s="51">
        <v>36.666666666666664</v>
      </c>
      <c r="Q10" s="47">
        <f>(22/60)*100</f>
        <v>36.666666666666664</v>
      </c>
      <c r="R10" s="51">
        <v>35</v>
      </c>
      <c r="S10" s="51">
        <v>35</v>
      </c>
      <c r="T10" s="51">
        <v>36.67</v>
      </c>
    </row>
    <row r="11" spans="1:20">
      <c r="A11" s="3" t="s">
        <v>669</v>
      </c>
      <c r="B11" s="3" t="s">
        <v>663</v>
      </c>
      <c r="C11" s="3">
        <v>3</v>
      </c>
      <c r="D11" s="3" t="s">
        <v>664</v>
      </c>
      <c r="E11" s="47">
        <v>10</v>
      </c>
      <c r="F11" s="46">
        <v>8</v>
      </c>
      <c r="G11" s="47">
        <v>19</v>
      </c>
      <c r="H11" s="47">
        <v>19.05</v>
      </c>
      <c r="I11" s="47">
        <v>10.526315789473683</v>
      </c>
      <c r="J11" s="47">
        <v>6</v>
      </c>
      <c r="K11" s="47">
        <v>15</v>
      </c>
      <c r="L11" s="47">
        <v>26.315789473684209</v>
      </c>
      <c r="M11" s="47">
        <v>29.3</v>
      </c>
      <c r="N11" s="47">
        <v>29.27</v>
      </c>
      <c r="O11" s="47">
        <v>31.7</v>
      </c>
      <c r="P11" s="47">
        <v>31.707317073170731</v>
      </c>
      <c r="Q11" s="47">
        <f>(13/41)*100</f>
        <v>31.707317073170731</v>
      </c>
      <c r="R11" s="47">
        <v>29.82</v>
      </c>
      <c r="S11" s="47"/>
      <c r="T11" s="47">
        <v>32.5</v>
      </c>
    </row>
    <row r="12" spans="1:20">
      <c r="A12" s="3" t="s">
        <v>665</v>
      </c>
      <c r="B12" s="3" t="s">
        <v>640</v>
      </c>
      <c r="C12" s="3">
        <v>4</v>
      </c>
      <c r="D12" s="3" t="s">
        <v>641</v>
      </c>
      <c r="E12" s="47">
        <v>12.903225806451612</v>
      </c>
      <c r="F12" s="46">
        <v>8</v>
      </c>
      <c r="G12" s="47">
        <v>25</v>
      </c>
      <c r="H12" s="47">
        <v>25</v>
      </c>
      <c r="I12" s="47">
        <v>25</v>
      </c>
      <c r="J12" s="47">
        <v>8</v>
      </c>
      <c r="K12" s="47">
        <v>9</v>
      </c>
      <c r="L12" s="47">
        <v>28.125</v>
      </c>
      <c r="M12" s="47">
        <v>34.4</v>
      </c>
      <c r="N12" s="47">
        <v>34.380000000000003</v>
      </c>
      <c r="O12" s="47">
        <v>34.4</v>
      </c>
      <c r="P12" s="47">
        <v>37.5</v>
      </c>
      <c r="Q12" s="47">
        <f>(12/32)*100</f>
        <v>37.5</v>
      </c>
      <c r="R12" s="47">
        <v>37.5</v>
      </c>
      <c r="S12" s="47">
        <v>34.380000000000003</v>
      </c>
      <c r="T12" s="47">
        <v>34.880000000000003</v>
      </c>
    </row>
    <row r="13" spans="1:20">
      <c r="A13" s="3" t="s">
        <v>539</v>
      </c>
      <c r="B13" s="3" t="s">
        <v>540</v>
      </c>
      <c r="C13" s="3">
        <v>5</v>
      </c>
      <c r="D13" s="3" t="s">
        <v>541</v>
      </c>
      <c r="E13" s="47">
        <v>11.111111111111111</v>
      </c>
      <c r="F13" s="46">
        <v>8</v>
      </c>
      <c r="G13" s="47">
        <v>29.6</v>
      </c>
      <c r="H13" s="47">
        <v>29.63</v>
      </c>
      <c r="I13" s="47">
        <v>33.333333333333329</v>
      </c>
      <c r="J13" s="47">
        <v>9</v>
      </c>
      <c r="K13" s="47">
        <v>9</v>
      </c>
      <c r="L13" s="47">
        <v>33.333333333333329</v>
      </c>
      <c r="M13" s="47">
        <v>29.63</v>
      </c>
      <c r="N13" s="47">
        <v>29.63</v>
      </c>
      <c r="O13" s="47">
        <v>29.7</v>
      </c>
      <c r="P13" s="47">
        <v>29.629629629629626</v>
      </c>
      <c r="Q13" s="47">
        <f>(8/27)*100</f>
        <v>29.629629629629626</v>
      </c>
      <c r="R13" s="47">
        <v>29.63</v>
      </c>
      <c r="S13" s="47">
        <v>29.62</v>
      </c>
      <c r="T13" s="47">
        <v>33.33</v>
      </c>
    </row>
    <row r="14" spans="1:20">
      <c r="A14" s="3" t="s">
        <v>542</v>
      </c>
      <c r="B14" s="3" t="s">
        <v>543</v>
      </c>
      <c r="C14" s="3">
        <v>6</v>
      </c>
      <c r="D14" s="3" t="s">
        <v>759</v>
      </c>
      <c r="E14" s="47">
        <v>7.6</v>
      </c>
      <c r="F14" s="46">
        <v>20</v>
      </c>
      <c r="G14" s="47">
        <v>30</v>
      </c>
      <c r="H14" s="47">
        <v>30.16</v>
      </c>
      <c r="I14" s="47">
        <v>14.285714285714285</v>
      </c>
      <c r="J14" s="47">
        <v>19</v>
      </c>
      <c r="K14" s="47">
        <v>22</v>
      </c>
      <c r="L14" s="47">
        <v>31.428571428571427</v>
      </c>
      <c r="M14" s="47">
        <v>34.299999999999997</v>
      </c>
      <c r="N14" s="47">
        <v>34.29</v>
      </c>
      <c r="O14" s="47">
        <v>35.799999999999997</v>
      </c>
      <c r="P14" s="47">
        <v>31.428571428571427</v>
      </c>
      <c r="Q14" s="47">
        <f>(22/70)*100</f>
        <v>31.428571428571427</v>
      </c>
      <c r="R14" s="47">
        <v>28.8</v>
      </c>
      <c r="S14" s="47">
        <v>32.86</v>
      </c>
      <c r="T14" s="47">
        <v>32.86</v>
      </c>
    </row>
    <row r="15" spans="1:20">
      <c r="A15" s="3" t="s">
        <v>628</v>
      </c>
      <c r="B15" s="3" t="s">
        <v>629</v>
      </c>
      <c r="C15" s="3">
        <v>7</v>
      </c>
      <c r="D15" s="3" t="s">
        <v>641</v>
      </c>
      <c r="E15" s="47">
        <v>0</v>
      </c>
      <c r="F15" s="46" t="s">
        <v>1980</v>
      </c>
      <c r="G15" s="52"/>
      <c r="H15" s="47" t="s">
        <v>1692</v>
      </c>
      <c r="I15" s="47">
        <v>12.820512820512819</v>
      </c>
      <c r="J15" s="47">
        <v>5</v>
      </c>
      <c r="K15" s="47">
        <v>12</v>
      </c>
      <c r="L15" s="47">
        <v>30.76923076923077</v>
      </c>
      <c r="M15" s="47">
        <v>38.46</v>
      </c>
      <c r="N15" s="47">
        <v>38.46</v>
      </c>
      <c r="O15" s="47">
        <v>38.5</v>
      </c>
      <c r="P15" s="72">
        <v>38.461538461538467</v>
      </c>
      <c r="Q15" s="47">
        <f>(10/26)*100</f>
        <v>38.461538461538467</v>
      </c>
      <c r="R15" s="72">
        <v>38.46</v>
      </c>
      <c r="S15" s="72">
        <v>38.46</v>
      </c>
      <c r="T15" s="72">
        <v>34.619999999999997</v>
      </c>
    </row>
    <row r="16" spans="1:20">
      <c r="A16" s="3" t="s">
        <v>630</v>
      </c>
      <c r="B16" s="3" t="s">
        <v>631</v>
      </c>
      <c r="C16" s="3">
        <v>8</v>
      </c>
      <c r="D16" s="3" t="s">
        <v>759</v>
      </c>
      <c r="E16" s="47">
        <v>0</v>
      </c>
      <c r="F16" s="46">
        <v>3</v>
      </c>
      <c r="G16" s="47">
        <v>10.7</v>
      </c>
      <c r="H16" s="47">
        <v>10.71</v>
      </c>
      <c r="I16" s="47">
        <v>4.5454545454545459</v>
      </c>
      <c r="J16" s="47">
        <v>2</v>
      </c>
      <c r="K16" s="47">
        <v>4</v>
      </c>
      <c r="L16" s="47">
        <v>8.8888888888888893</v>
      </c>
      <c r="M16" s="47">
        <v>14.29</v>
      </c>
      <c r="N16" s="47">
        <v>14.29</v>
      </c>
      <c r="O16" s="47">
        <f>(4/28)*100</f>
        <v>14.285714285714285</v>
      </c>
      <c r="P16" s="47">
        <v>14.285714285714285</v>
      </c>
      <c r="Q16" s="47">
        <f>(4/28)*100</f>
        <v>14.285714285714285</v>
      </c>
      <c r="R16" s="47">
        <v>11.11</v>
      </c>
      <c r="S16" s="47">
        <v>14.29</v>
      </c>
      <c r="T16" s="47">
        <v>20.59</v>
      </c>
    </row>
    <row r="17" spans="1:20">
      <c r="A17" s="3" t="s">
        <v>632</v>
      </c>
      <c r="B17" s="3" t="s">
        <v>633</v>
      </c>
      <c r="C17" s="3">
        <v>9</v>
      </c>
      <c r="D17" s="3" t="s">
        <v>641</v>
      </c>
      <c r="E17" s="47">
        <v>20</v>
      </c>
      <c r="F17" s="46">
        <v>11</v>
      </c>
      <c r="G17" s="47">
        <v>37.9</v>
      </c>
      <c r="H17" s="47">
        <v>37.93</v>
      </c>
      <c r="I17" s="47">
        <v>20</v>
      </c>
      <c r="J17" s="47">
        <v>6</v>
      </c>
      <c r="K17" s="47">
        <v>11</v>
      </c>
      <c r="L17" s="47">
        <v>36.666666666666664</v>
      </c>
      <c r="M17" s="47">
        <v>33.299999999999997</v>
      </c>
      <c r="N17" s="47">
        <v>33.33</v>
      </c>
      <c r="O17" s="47">
        <v>33.299999999999997</v>
      </c>
      <c r="P17" s="47">
        <v>36.666666666666664</v>
      </c>
      <c r="Q17" s="47">
        <f>(11/30)*100</f>
        <v>36.666666666666664</v>
      </c>
      <c r="R17" s="47">
        <v>36.659999999999997</v>
      </c>
      <c r="S17" s="47">
        <v>36.67</v>
      </c>
      <c r="T17" s="47">
        <v>33.33</v>
      </c>
    </row>
    <row r="18" spans="1:20">
      <c r="A18" s="3" t="s">
        <v>634</v>
      </c>
      <c r="B18" s="3" t="s">
        <v>715</v>
      </c>
      <c r="C18" s="3">
        <v>10</v>
      </c>
      <c r="D18" s="3" t="s">
        <v>664</v>
      </c>
      <c r="E18" s="47">
        <v>10.416666666666668</v>
      </c>
      <c r="F18" s="46">
        <v>10</v>
      </c>
      <c r="G18" s="47">
        <v>20.399999999999999</v>
      </c>
      <c r="H18" s="47">
        <v>20.41</v>
      </c>
      <c r="I18" s="47">
        <v>25</v>
      </c>
      <c r="J18" s="47">
        <v>12</v>
      </c>
      <c r="K18" s="47">
        <v>12</v>
      </c>
      <c r="L18" s="47">
        <v>25</v>
      </c>
      <c r="M18" s="47">
        <v>27.08</v>
      </c>
      <c r="N18" s="47">
        <v>27.08</v>
      </c>
      <c r="O18" s="47"/>
      <c r="P18" s="47">
        <v>27.083333333333332</v>
      </c>
      <c r="Q18" s="47">
        <f>(13/48)*100</f>
        <v>27.083333333333332</v>
      </c>
      <c r="R18" s="47">
        <v>27.65</v>
      </c>
      <c r="S18" s="47">
        <v>25</v>
      </c>
      <c r="T18" s="47">
        <v>33.33</v>
      </c>
    </row>
    <row r="19" spans="1:20">
      <c r="A19" s="3" t="s">
        <v>716</v>
      </c>
      <c r="B19" s="3" t="s">
        <v>717</v>
      </c>
      <c r="C19" s="3">
        <v>11</v>
      </c>
      <c r="D19" s="3" t="s">
        <v>541</v>
      </c>
      <c r="E19" s="47">
        <v>9.5238095238095237</v>
      </c>
      <c r="F19" s="46">
        <v>9</v>
      </c>
      <c r="G19" s="47">
        <v>34.6</v>
      </c>
      <c r="H19" s="47">
        <v>34.619999999999997</v>
      </c>
      <c r="I19" s="47">
        <v>30.76923076923077</v>
      </c>
      <c r="J19" s="47">
        <v>8</v>
      </c>
      <c r="K19" s="47">
        <v>9</v>
      </c>
      <c r="L19" s="47">
        <v>34.615384615384613</v>
      </c>
      <c r="M19" s="47">
        <v>34.619999999999997</v>
      </c>
      <c r="N19" s="47">
        <v>34.619999999999997</v>
      </c>
      <c r="O19" s="47">
        <v>34.700000000000003</v>
      </c>
      <c r="P19" s="47">
        <v>34.615384615384613</v>
      </c>
      <c r="Q19" s="47">
        <f>(9/26)*100</f>
        <v>34.615384615384613</v>
      </c>
      <c r="R19" s="47">
        <v>26.9</v>
      </c>
      <c r="S19" s="47">
        <v>30.77</v>
      </c>
      <c r="T19" s="47">
        <v>33.33</v>
      </c>
    </row>
    <row r="20" spans="1:20">
      <c r="A20" s="3" t="s">
        <v>718</v>
      </c>
      <c r="B20" s="3" t="s">
        <v>719</v>
      </c>
      <c r="C20" s="3">
        <v>12</v>
      </c>
      <c r="D20" s="3" t="s">
        <v>664</v>
      </c>
      <c r="E20" s="47">
        <v>3.4482758620689653</v>
      </c>
      <c r="F20" s="46">
        <v>2</v>
      </c>
      <c r="G20" s="52">
        <v>6.7</v>
      </c>
      <c r="H20" s="47">
        <v>6.67</v>
      </c>
      <c r="I20" s="47">
        <v>10</v>
      </c>
      <c r="J20" s="47">
        <v>3</v>
      </c>
      <c r="K20" s="47">
        <v>5</v>
      </c>
      <c r="L20" s="47">
        <v>16.666666666666664</v>
      </c>
      <c r="M20" s="47">
        <v>13.04</v>
      </c>
      <c r="N20" s="47">
        <v>13.04</v>
      </c>
      <c r="O20" s="47">
        <v>13</v>
      </c>
      <c r="P20" s="47">
        <v>4.3478260869565215</v>
      </c>
      <c r="Q20" s="47">
        <f>(1/23)*100</f>
        <v>4.3478260869565215</v>
      </c>
      <c r="R20" s="47">
        <v>8.69</v>
      </c>
      <c r="S20" s="47">
        <v>22.22</v>
      </c>
      <c r="T20" s="47">
        <v>30.56</v>
      </c>
    </row>
    <row r="21" spans="1:20">
      <c r="A21" s="3" t="s">
        <v>711</v>
      </c>
      <c r="B21" s="3" t="s">
        <v>712</v>
      </c>
      <c r="C21" s="3">
        <v>13</v>
      </c>
      <c r="D21" s="3" t="s">
        <v>713</v>
      </c>
      <c r="E21" s="47">
        <v>4.1666666666666661</v>
      </c>
      <c r="F21" s="46">
        <v>9</v>
      </c>
      <c r="G21" s="47">
        <v>18.75</v>
      </c>
      <c r="H21" s="47">
        <v>18.75</v>
      </c>
      <c r="I21" s="47">
        <v>18.604651162790699</v>
      </c>
      <c r="J21" s="47">
        <v>16</v>
      </c>
      <c r="K21" s="47">
        <v>11</v>
      </c>
      <c r="L21" s="47">
        <v>12.790697674418606</v>
      </c>
      <c r="M21" s="47">
        <v>16.670000000000002</v>
      </c>
      <c r="N21" s="47">
        <v>16.670000000000002</v>
      </c>
      <c r="O21" s="11">
        <v>18.600000000000001</v>
      </c>
      <c r="P21" s="47">
        <v>22.916666666666664</v>
      </c>
      <c r="Q21" s="47">
        <f>(11/48)*100</f>
        <v>22.916666666666664</v>
      </c>
      <c r="R21" s="47"/>
      <c r="S21" s="47">
        <v>16.670000000000002</v>
      </c>
      <c r="T21" s="47">
        <v>33.33</v>
      </c>
    </row>
    <row r="22" spans="1:20">
      <c r="A22" s="3" t="s">
        <v>714</v>
      </c>
      <c r="B22" s="3" t="s">
        <v>530</v>
      </c>
      <c r="C22" s="3">
        <v>14</v>
      </c>
      <c r="D22" s="3" t="s">
        <v>641</v>
      </c>
      <c r="E22" s="47">
        <v>15</v>
      </c>
      <c r="F22" s="46">
        <v>13</v>
      </c>
      <c r="G22" s="47">
        <v>32.5</v>
      </c>
      <c r="H22" s="47">
        <v>32.5</v>
      </c>
      <c r="I22" s="47">
        <v>30</v>
      </c>
      <c r="J22" s="47">
        <v>12</v>
      </c>
      <c r="K22" s="47">
        <v>12</v>
      </c>
      <c r="L22" s="47">
        <v>30</v>
      </c>
      <c r="M22" s="47">
        <v>25.7</v>
      </c>
      <c r="N22" s="47">
        <v>25.71</v>
      </c>
      <c r="O22" s="47">
        <v>27.3</v>
      </c>
      <c r="P22" s="47">
        <v>28.571428571428569</v>
      </c>
      <c r="Q22" s="47">
        <f>(10/35)*100</f>
        <v>28.571428571428569</v>
      </c>
      <c r="R22" s="47">
        <v>30</v>
      </c>
      <c r="S22" s="47">
        <v>30</v>
      </c>
      <c r="T22" s="47">
        <v>30</v>
      </c>
    </row>
    <row r="23" spans="1:20">
      <c r="A23" s="3" t="s">
        <v>620</v>
      </c>
      <c r="B23" s="3" t="s">
        <v>621</v>
      </c>
      <c r="C23" s="3">
        <v>15</v>
      </c>
      <c r="D23" s="3" t="s">
        <v>541</v>
      </c>
      <c r="E23" s="47">
        <v>12</v>
      </c>
      <c r="F23" s="46">
        <v>11</v>
      </c>
      <c r="G23" s="47">
        <v>31.4</v>
      </c>
      <c r="H23" s="47">
        <v>41.43</v>
      </c>
      <c r="I23" s="47">
        <v>28.571428571428569</v>
      </c>
      <c r="J23" s="47">
        <v>10</v>
      </c>
      <c r="K23" s="47">
        <v>10</v>
      </c>
      <c r="L23" s="47">
        <v>28.571428571428569</v>
      </c>
      <c r="M23" s="47">
        <v>28.57</v>
      </c>
      <c r="N23" s="47">
        <v>28.57</v>
      </c>
      <c r="O23" s="47">
        <v>28.6</v>
      </c>
      <c r="P23" s="47">
        <v>28.571428571428569</v>
      </c>
      <c r="Q23" s="47">
        <f>(10/35)*100</f>
        <v>28.571428571428569</v>
      </c>
      <c r="R23" s="47">
        <v>31.4</v>
      </c>
      <c r="S23" s="47">
        <v>31.43</v>
      </c>
      <c r="T23" s="47">
        <v>25.71</v>
      </c>
    </row>
    <row r="24" spans="1:20">
      <c r="A24" s="3" t="s">
        <v>622</v>
      </c>
      <c r="B24" s="3" t="s">
        <v>925</v>
      </c>
      <c r="C24" s="3">
        <v>16</v>
      </c>
      <c r="D24" s="3" t="s">
        <v>541</v>
      </c>
      <c r="E24" s="47">
        <v>19.047619047619047</v>
      </c>
      <c r="F24" s="46">
        <v>9</v>
      </c>
      <c r="G24" s="47">
        <v>20.9</v>
      </c>
      <c r="H24" s="47">
        <v>20.93</v>
      </c>
      <c r="I24" s="47">
        <v>23.255813953488371</v>
      </c>
      <c r="J24" s="47">
        <v>10</v>
      </c>
      <c r="K24" s="47">
        <v>10</v>
      </c>
      <c r="L24" s="47">
        <v>23.255813953488371</v>
      </c>
      <c r="M24" s="47">
        <v>37.200000000000003</v>
      </c>
      <c r="N24" s="47">
        <v>37.21</v>
      </c>
      <c r="O24" s="47">
        <v>37.200000000000003</v>
      </c>
      <c r="P24" s="47">
        <v>34.883720930232556</v>
      </c>
      <c r="Q24" s="47">
        <f>(15/43)*100</f>
        <v>34.883720930232556</v>
      </c>
      <c r="R24" s="47">
        <v>41.86</v>
      </c>
      <c r="S24" s="47">
        <v>41.9</v>
      </c>
      <c r="T24" s="47">
        <v>41.3</v>
      </c>
    </row>
    <row r="25" spans="1:20">
      <c r="A25" s="3" t="s">
        <v>926</v>
      </c>
      <c r="B25" s="3" t="s">
        <v>927</v>
      </c>
      <c r="C25" s="3">
        <v>17</v>
      </c>
      <c r="D25" s="3" t="s">
        <v>664</v>
      </c>
      <c r="E25" s="47">
        <v>6.666666666666667</v>
      </c>
      <c r="F25" s="46">
        <v>11</v>
      </c>
      <c r="G25" s="47">
        <v>18.600000000000001</v>
      </c>
      <c r="H25" s="47">
        <v>18.64</v>
      </c>
      <c r="I25" s="47">
        <v>12.048192771084338</v>
      </c>
      <c r="J25" s="47">
        <v>10</v>
      </c>
      <c r="K25" s="47">
        <v>13</v>
      </c>
      <c r="L25" s="47">
        <v>15.66265060240964</v>
      </c>
      <c r="M25" s="47">
        <v>18.3</v>
      </c>
      <c r="N25" s="47">
        <v>18.329999999999998</v>
      </c>
      <c r="O25" s="47">
        <v>18.7</v>
      </c>
      <c r="P25" s="47">
        <v>26.666666666666668</v>
      </c>
      <c r="Q25" s="47">
        <f>(16/60)*100</f>
        <v>26.666666666666668</v>
      </c>
      <c r="R25" s="47">
        <v>22.89</v>
      </c>
      <c r="S25" s="47">
        <v>25</v>
      </c>
      <c r="T25" s="47">
        <v>18.329999999999998</v>
      </c>
    </row>
    <row r="26" spans="1:20">
      <c r="A26" s="3" t="s">
        <v>928</v>
      </c>
      <c r="B26" s="3" t="s">
        <v>929</v>
      </c>
      <c r="C26" s="3">
        <v>18</v>
      </c>
      <c r="D26" s="3" t="s">
        <v>713</v>
      </c>
      <c r="E26" s="47">
        <v>14.634146341463413</v>
      </c>
      <c r="F26" s="46">
        <v>5</v>
      </c>
      <c r="G26" s="47">
        <v>11.36</v>
      </c>
      <c r="H26" s="47">
        <v>11.36</v>
      </c>
      <c r="I26" s="47">
        <v>13.333333333333334</v>
      </c>
      <c r="J26" s="47">
        <v>6</v>
      </c>
      <c r="K26" s="47">
        <v>6</v>
      </c>
      <c r="L26" s="47">
        <v>13.333333333333334</v>
      </c>
      <c r="M26" s="47">
        <v>14.71</v>
      </c>
      <c r="N26" s="47">
        <v>14.71</v>
      </c>
      <c r="O26" s="47">
        <v>14.7</v>
      </c>
      <c r="P26" s="47">
        <v>11.76470588235294</v>
      </c>
      <c r="Q26" s="47">
        <f>(4/34)*100</f>
        <v>11.76470588235294</v>
      </c>
      <c r="R26" s="47">
        <v>11.76</v>
      </c>
      <c r="S26" s="47">
        <v>11.76</v>
      </c>
      <c r="T26" s="47">
        <v>20.59</v>
      </c>
    </row>
    <row r="27" spans="1:20">
      <c r="A27" s="3" t="s">
        <v>841</v>
      </c>
      <c r="B27" s="3" t="s">
        <v>659</v>
      </c>
      <c r="C27" s="3">
        <v>19</v>
      </c>
      <c r="D27" s="3" t="s">
        <v>713</v>
      </c>
      <c r="E27" s="47">
        <v>4.6511627906976747</v>
      </c>
      <c r="F27" s="46">
        <v>10</v>
      </c>
      <c r="G27" s="47">
        <v>23.8</v>
      </c>
      <c r="H27" s="47">
        <v>23.81</v>
      </c>
      <c r="I27" s="47">
        <v>21.153846153846153</v>
      </c>
      <c r="J27" s="47">
        <v>11</v>
      </c>
      <c r="K27" s="47">
        <v>14</v>
      </c>
      <c r="L27" s="47">
        <v>26.923076923076923</v>
      </c>
      <c r="M27" s="47">
        <v>32.56</v>
      </c>
      <c r="N27" s="47">
        <v>32.56</v>
      </c>
      <c r="O27" s="47">
        <v>32.5</v>
      </c>
      <c r="P27" s="47">
        <v>34.883720930232556</v>
      </c>
      <c r="Q27" s="47">
        <f>(15/43)*100</f>
        <v>34.883720930232556</v>
      </c>
      <c r="R27" s="47"/>
      <c r="S27" s="47">
        <v>24.32</v>
      </c>
      <c r="T27" s="47">
        <v>20.93</v>
      </c>
    </row>
    <row r="28" spans="1:20">
      <c r="A28" s="3" t="s">
        <v>660</v>
      </c>
      <c r="B28" s="3" t="s">
        <v>661</v>
      </c>
      <c r="C28" s="3">
        <v>20</v>
      </c>
      <c r="D28" s="3" t="s">
        <v>541</v>
      </c>
      <c r="E28" s="47">
        <v>12.5</v>
      </c>
      <c r="F28" s="46">
        <v>1</v>
      </c>
      <c r="G28" s="47">
        <v>4.17</v>
      </c>
      <c r="H28" s="47">
        <v>4.17</v>
      </c>
      <c r="I28" s="47">
        <v>20.833333333333336</v>
      </c>
      <c r="J28" s="47">
        <v>5</v>
      </c>
      <c r="K28" s="47">
        <v>1</v>
      </c>
      <c r="L28" s="47">
        <v>4.1666666666666661</v>
      </c>
      <c r="M28" s="47">
        <v>12.5</v>
      </c>
      <c r="N28" s="47">
        <v>12.5</v>
      </c>
      <c r="O28" s="47">
        <v>12.5</v>
      </c>
      <c r="P28" s="47">
        <v>16.666666666666664</v>
      </c>
      <c r="Q28" s="47">
        <f>(4/24)*100</f>
        <v>16.666666666666664</v>
      </c>
      <c r="R28" s="47">
        <v>20.83</v>
      </c>
      <c r="S28" s="47">
        <v>20.83</v>
      </c>
      <c r="T28" s="47">
        <v>16.670000000000002</v>
      </c>
    </row>
    <row r="29" spans="1:20">
      <c r="A29" s="3" t="s">
        <v>80</v>
      </c>
      <c r="B29" s="3" t="s">
        <v>747</v>
      </c>
      <c r="C29" s="3">
        <v>21</v>
      </c>
      <c r="D29" s="3" t="s">
        <v>759</v>
      </c>
      <c r="E29" s="47">
        <v>4</v>
      </c>
      <c r="F29" s="46">
        <v>15</v>
      </c>
      <c r="G29" s="47">
        <v>30</v>
      </c>
      <c r="H29" s="47">
        <v>30</v>
      </c>
      <c r="I29" s="47">
        <v>20.289855072463769</v>
      </c>
      <c r="J29" s="47">
        <v>14</v>
      </c>
      <c r="K29" s="47">
        <v>15</v>
      </c>
      <c r="L29" s="47">
        <v>21.739130434782609</v>
      </c>
      <c r="M29" s="47">
        <v>32</v>
      </c>
      <c r="N29" s="47">
        <v>32</v>
      </c>
      <c r="O29" s="47">
        <v>32</v>
      </c>
      <c r="P29" s="47">
        <v>34</v>
      </c>
      <c r="Q29" s="47">
        <f>(17/50)*100</f>
        <v>34</v>
      </c>
      <c r="R29" s="47">
        <v>24.6</v>
      </c>
      <c r="S29" s="47">
        <v>32</v>
      </c>
      <c r="T29" s="47">
        <v>34</v>
      </c>
    </row>
    <row r="30" spans="1:20">
      <c r="A30" s="3" t="s">
        <v>721</v>
      </c>
      <c r="B30" s="3" t="s">
        <v>722</v>
      </c>
      <c r="C30" s="3">
        <v>22</v>
      </c>
      <c r="D30" s="3" t="s">
        <v>664</v>
      </c>
      <c r="E30" s="51">
        <v>0</v>
      </c>
      <c r="F30" s="53">
        <v>13</v>
      </c>
      <c r="G30" s="47">
        <v>26</v>
      </c>
      <c r="H30" s="47">
        <v>26</v>
      </c>
      <c r="I30" s="47">
        <v>26.666666666666668</v>
      </c>
      <c r="J30" s="47">
        <v>12</v>
      </c>
      <c r="K30" s="47">
        <v>19</v>
      </c>
      <c r="L30" s="47">
        <v>38</v>
      </c>
      <c r="M30" s="47">
        <v>46</v>
      </c>
      <c r="N30" s="47">
        <v>46</v>
      </c>
      <c r="O30" s="47">
        <v>46</v>
      </c>
      <c r="P30" s="47">
        <v>48</v>
      </c>
      <c r="Q30" s="47">
        <f>(24/50)*100</f>
        <v>48</v>
      </c>
      <c r="R30" s="47">
        <v>46</v>
      </c>
      <c r="S30" s="47">
        <v>50</v>
      </c>
      <c r="T30" s="47">
        <v>50</v>
      </c>
    </row>
    <row r="31" spans="1:20">
      <c r="A31" s="3" t="s">
        <v>723</v>
      </c>
      <c r="B31" s="3" t="s">
        <v>724</v>
      </c>
      <c r="C31" s="3">
        <v>23</v>
      </c>
      <c r="D31" s="3" t="s">
        <v>541</v>
      </c>
      <c r="E31" s="54">
        <v>33.333333333333329</v>
      </c>
      <c r="F31" s="49">
        <v>4</v>
      </c>
      <c r="G31" s="73">
        <v>28.6</v>
      </c>
      <c r="H31" s="73">
        <v>28.57</v>
      </c>
      <c r="I31" s="73">
        <v>13.333333333333334</v>
      </c>
      <c r="J31" s="73">
        <v>2</v>
      </c>
      <c r="K31" s="73">
        <v>5</v>
      </c>
      <c r="L31" s="73">
        <v>33.333333333333329</v>
      </c>
      <c r="M31" s="73">
        <v>33.299999999999997</v>
      </c>
      <c r="N31" s="73">
        <v>33.33</v>
      </c>
      <c r="O31" s="47">
        <v>33.299999999999997</v>
      </c>
      <c r="P31" s="51">
        <v>33.333333333333329</v>
      </c>
      <c r="Q31" s="47">
        <f>(5/15)*100</f>
        <v>33.333333333333329</v>
      </c>
      <c r="R31" s="51">
        <v>26.6</v>
      </c>
      <c r="S31" s="51">
        <v>26.67</v>
      </c>
      <c r="T31" s="51">
        <v>40</v>
      </c>
    </row>
    <row r="32" spans="1:20">
      <c r="A32" s="3" t="s">
        <v>725</v>
      </c>
      <c r="B32" s="3" t="s">
        <v>726</v>
      </c>
      <c r="C32" s="3">
        <v>24</v>
      </c>
      <c r="D32" s="3" t="s">
        <v>664</v>
      </c>
      <c r="E32" s="54">
        <v>2.5</v>
      </c>
      <c r="F32" s="49">
        <v>10</v>
      </c>
      <c r="G32" s="54">
        <v>25</v>
      </c>
      <c r="H32" s="54">
        <v>25</v>
      </c>
      <c r="I32" s="54">
        <v>22.5</v>
      </c>
      <c r="J32" s="54">
        <v>9</v>
      </c>
      <c r="K32" s="54">
        <v>9</v>
      </c>
      <c r="L32" s="54">
        <v>22.5</v>
      </c>
      <c r="M32" s="54">
        <v>15</v>
      </c>
      <c r="N32" s="54">
        <v>15</v>
      </c>
      <c r="O32" s="47">
        <v>15</v>
      </c>
      <c r="P32" s="51">
        <v>12.5</v>
      </c>
      <c r="Q32" s="47">
        <f>(5/40)*100</f>
        <v>12.5</v>
      </c>
      <c r="R32" s="51">
        <v>24.48</v>
      </c>
      <c r="S32" s="51">
        <v>24.5</v>
      </c>
      <c r="T32" s="51">
        <v>20.41</v>
      </c>
    </row>
    <row r="33" spans="1:20">
      <c r="E33" s="54"/>
      <c r="F33" s="96"/>
      <c r="G33" s="54"/>
      <c r="H33" s="54"/>
      <c r="I33" s="54"/>
      <c r="J33" s="54"/>
      <c r="K33" s="54"/>
      <c r="L33" s="54"/>
      <c r="M33" s="54"/>
      <c r="N33" s="54"/>
      <c r="O33" s="11"/>
      <c r="P33" s="51"/>
      <c r="Q33" s="11"/>
      <c r="R33" s="51"/>
      <c r="S33" s="51">
        <v>28.619999999999994</v>
      </c>
      <c r="T33" s="51">
        <v>30.601666666666663</v>
      </c>
    </row>
    <row r="34" spans="1:20">
      <c r="A34" s="3" t="s">
        <v>727</v>
      </c>
      <c r="E34" s="54">
        <f>AVERAGE(E9:E32)</f>
        <v>9.6135382377708076</v>
      </c>
      <c r="F34" s="49">
        <f>SUM(F9:F32)</f>
        <v>238</v>
      </c>
      <c r="G34" s="54">
        <f>AVERAGE(G9:G32)</f>
        <v>24.05130434782609</v>
      </c>
      <c r="H34" s="54">
        <v>24.54</v>
      </c>
      <c r="I34" s="54"/>
      <c r="J34" s="54"/>
      <c r="K34" s="54"/>
      <c r="L34" s="54"/>
      <c r="M34" s="54">
        <f>AVERAGE(F9:F32)</f>
        <v>10.347826086956522</v>
      </c>
      <c r="N34" s="54"/>
      <c r="O34" s="51">
        <f>AVERAGE(O9:O31)</f>
        <v>28.542176870748296</v>
      </c>
      <c r="P34" s="51">
        <f>AVERAGE(P9:P32)</f>
        <v>28.520783856399888</v>
      </c>
      <c r="Q34" s="51">
        <f>AVERAGE(Q9:Q31)</f>
        <v>29.217339676243363</v>
      </c>
      <c r="R34" s="51">
        <v>28.36</v>
      </c>
      <c r="S34" s="51"/>
      <c r="T34" s="51"/>
    </row>
    <row r="35" spans="1:20" ht="319">
      <c r="A35" s="7" t="s">
        <v>728</v>
      </c>
      <c r="B35" s="7"/>
      <c r="C35" s="7"/>
      <c r="D35" s="7"/>
      <c r="E35" s="1" t="s">
        <v>236</v>
      </c>
      <c r="F35" s="60" t="s">
        <v>1819</v>
      </c>
      <c r="G35" s="1" t="s">
        <v>236</v>
      </c>
      <c r="H35" s="60" t="s">
        <v>1657</v>
      </c>
      <c r="I35" s="60" t="s">
        <v>1522</v>
      </c>
      <c r="J35" s="60" t="s">
        <v>1591</v>
      </c>
      <c r="K35" s="60" t="s">
        <v>1522</v>
      </c>
      <c r="L35" s="100" t="s">
        <v>1522</v>
      </c>
      <c r="M35" s="1" t="s">
        <v>236</v>
      </c>
      <c r="N35" s="100" t="s">
        <v>1656</v>
      </c>
      <c r="O35" s="1" t="s">
        <v>1818</v>
      </c>
      <c r="P35" s="1" t="s">
        <v>65</v>
      </c>
      <c r="Q35" s="1" t="s">
        <v>1816</v>
      </c>
      <c r="R35" s="1" t="s">
        <v>1554</v>
      </c>
      <c r="S35" s="1" t="s">
        <v>1923</v>
      </c>
      <c r="T35" s="1" t="s">
        <v>1918</v>
      </c>
    </row>
    <row r="36" spans="1:20" ht="154">
      <c r="A36" s="7"/>
      <c r="B36" s="7"/>
      <c r="C36" s="7"/>
      <c r="D36" s="7"/>
      <c r="E36" s="7"/>
      <c r="F36" s="7"/>
      <c r="G36" s="7"/>
      <c r="H36" s="7"/>
      <c r="I36" s="7"/>
      <c r="J36" s="7"/>
      <c r="K36" s="7"/>
      <c r="L36" s="7"/>
      <c r="M36" s="7"/>
      <c r="N36" s="7"/>
      <c r="O36" s="7"/>
      <c r="P36" s="7" t="s">
        <v>77</v>
      </c>
      <c r="Q36" s="7"/>
      <c r="R36" s="7"/>
      <c r="S36" s="7"/>
      <c r="T36" s="7"/>
    </row>
  </sheetData>
  <sortState columnSort="1" ref="E1:T36">
    <sortCondition ref="E6:T6"/>
  </sortState>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workbookViewId="0">
      <pane xSplit="9220" topLeftCell="V1"/>
      <selection activeCell="A38" sqref="A38"/>
      <selection pane="topRight" activeCell="V1" sqref="V1"/>
    </sheetView>
  </sheetViews>
  <sheetFormatPr baseColWidth="10" defaultRowHeight="13" x14ac:dyDescent="0"/>
  <cols>
    <col min="1" max="1" width="15.140625" style="3" customWidth="1"/>
    <col min="2" max="3" width="5.7109375" style="3" customWidth="1"/>
    <col min="4" max="4" width="10.7109375" style="3"/>
    <col min="5" max="38" width="10.28515625" customWidth="1"/>
  </cols>
  <sheetData>
    <row r="1" spans="1:39">
      <c r="A1" s="137" t="s">
        <v>2404</v>
      </c>
    </row>
    <row r="2" spans="1:39">
      <c r="A2" s="1" t="s">
        <v>614</v>
      </c>
      <c r="B2" s="1"/>
      <c r="C2" s="1"/>
      <c r="D2" s="1"/>
      <c r="E2" s="1" t="s">
        <v>2081</v>
      </c>
      <c r="F2" s="1" t="s">
        <v>2081</v>
      </c>
      <c r="G2" s="1" t="s">
        <v>2081</v>
      </c>
      <c r="H2" s="1" t="s">
        <v>2081</v>
      </c>
      <c r="I2" s="1" t="s">
        <v>2081</v>
      </c>
      <c r="J2" s="1" t="s">
        <v>2081</v>
      </c>
      <c r="K2" s="1" t="s">
        <v>2081</v>
      </c>
      <c r="L2" s="1" t="s">
        <v>2081</v>
      </c>
      <c r="M2" s="1" t="s">
        <v>2081</v>
      </c>
      <c r="N2" s="1" t="s">
        <v>2081</v>
      </c>
      <c r="O2" s="1" t="s">
        <v>2081</v>
      </c>
      <c r="P2" s="1" t="s">
        <v>2081</v>
      </c>
      <c r="Q2" s="1" t="s">
        <v>2081</v>
      </c>
      <c r="R2" s="1" t="s">
        <v>2081</v>
      </c>
      <c r="S2" s="1" t="s">
        <v>2081</v>
      </c>
      <c r="T2" s="1" t="s">
        <v>2081</v>
      </c>
      <c r="U2" s="1" t="s">
        <v>2081</v>
      </c>
      <c r="V2" s="1" t="s">
        <v>2081</v>
      </c>
      <c r="W2" s="1" t="s">
        <v>2081</v>
      </c>
      <c r="X2" s="1" t="s">
        <v>2081</v>
      </c>
      <c r="Y2" s="1" t="s">
        <v>2081</v>
      </c>
      <c r="Z2" s="1" t="s">
        <v>2081</v>
      </c>
      <c r="AA2" s="1" t="s">
        <v>2081</v>
      </c>
      <c r="AB2" s="1" t="s">
        <v>2081</v>
      </c>
      <c r="AC2" s="1" t="s">
        <v>2081</v>
      </c>
      <c r="AD2" s="1" t="s">
        <v>2081</v>
      </c>
      <c r="AE2" s="1" t="s">
        <v>2081</v>
      </c>
      <c r="AF2" s="1" t="s">
        <v>2081</v>
      </c>
      <c r="AG2" s="1" t="s">
        <v>2081</v>
      </c>
      <c r="AH2" s="1" t="s">
        <v>2081</v>
      </c>
      <c r="AI2" s="1" t="s">
        <v>2081</v>
      </c>
    </row>
    <row r="3" spans="1:39">
      <c r="A3" s="1" t="s">
        <v>518</v>
      </c>
      <c r="B3" s="1"/>
      <c r="C3" s="1"/>
      <c r="D3" s="1"/>
      <c r="E3" s="1" t="s">
        <v>2083</v>
      </c>
      <c r="F3" s="1" t="s">
        <v>2083</v>
      </c>
      <c r="G3" s="1" t="s">
        <v>2083</v>
      </c>
      <c r="H3" s="1" t="s">
        <v>2083</v>
      </c>
      <c r="I3" s="1" t="s">
        <v>2083</v>
      </c>
      <c r="J3" s="1" t="s">
        <v>2083</v>
      </c>
      <c r="K3" s="1" t="s">
        <v>2083</v>
      </c>
      <c r="L3" s="1" t="s">
        <v>2083</v>
      </c>
      <c r="M3" s="1" t="s">
        <v>2083</v>
      </c>
      <c r="N3" s="1" t="s">
        <v>2083</v>
      </c>
      <c r="O3" s="1" t="s">
        <v>2083</v>
      </c>
      <c r="P3" s="1" t="s">
        <v>2083</v>
      </c>
      <c r="Q3" s="1" t="s">
        <v>2083</v>
      </c>
      <c r="R3" s="1" t="s">
        <v>2083</v>
      </c>
      <c r="S3" s="1" t="s">
        <v>2083</v>
      </c>
      <c r="T3" s="1" t="s">
        <v>2083</v>
      </c>
      <c r="U3" s="1" t="s">
        <v>2083</v>
      </c>
      <c r="V3" s="1" t="s">
        <v>2083</v>
      </c>
      <c r="W3" s="1" t="s">
        <v>2083</v>
      </c>
      <c r="X3" s="1" t="s">
        <v>2083</v>
      </c>
      <c r="Y3" s="1" t="s">
        <v>2083</v>
      </c>
      <c r="Z3" s="1" t="s">
        <v>2083</v>
      </c>
      <c r="AA3" s="1" t="s">
        <v>2083</v>
      </c>
      <c r="AB3" s="1" t="s">
        <v>2083</v>
      </c>
      <c r="AC3" s="1" t="s">
        <v>2083</v>
      </c>
      <c r="AD3" s="1" t="s">
        <v>2083</v>
      </c>
      <c r="AE3" s="1" t="s">
        <v>2083</v>
      </c>
      <c r="AF3" s="1" t="s">
        <v>2083</v>
      </c>
      <c r="AG3" s="1" t="s">
        <v>2083</v>
      </c>
      <c r="AH3" s="1" t="s">
        <v>2083</v>
      </c>
      <c r="AI3" s="1" t="s">
        <v>2083</v>
      </c>
    </row>
    <row r="4" spans="1:39">
      <c r="A4" s="1" t="s">
        <v>736</v>
      </c>
      <c r="B4" s="1"/>
      <c r="C4" s="1"/>
      <c r="D4" s="1"/>
      <c r="E4" s="1" t="s">
        <v>2486</v>
      </c>
      <c r="F4" s="1" t="s">
        <v>2486</v>
      </c>
      <c r="G4" s="1" t="s">
        <v>2486</v>
      </c>
      <c r="H4" s="1" t="s">
        <v>2486</v>
      </c>
      <c r="I4" s="1" t="s">
        <v>2486</v>
      </c>
      <c r="J4" s="1" t="s">
        <v>2486</v>
      </c>
      <c r="K4" s="1" t="s">
        <v>2486</v>
      </c>
      <c r="L4" s="1" t="s">
        <v>2486</v>
      </c>
      <c r="M4" s="1" t="s">
        <v>2486</v>
      </c>
      <c r="N4" s="1" t="s">
        <v>2486</v>
      </c>
      <c r="O4" s="1" t="s">
        <v>2486</v>
      </c>
      <c r="P4" s="1" t="s">
        <v>2486</v>
      </c>
      <c r="Q4" s="1" t="s">
        <v>2486</v>
      </c>
      <c r="R4" s="1" t="s">
        <v>2486</v>
      </c>
      <c r="S4" s="1" t="s">
        <v>2486</v>
      </c>
      <c r="T4" s="1" t="s">
        <v>2486</v>
      </c>
      <c r="U4" s="1" t="s">
        <v>2486</v>
      </c>
      <c r="V4" s="1" t="s">
        <v>2486</v>
      </c>
      <c r="W4" s="1" t="s">
        <v>2486</v>
      </c>
      <c r="X4" s="1" t="s">
        <v>2486</v>
      </c>
      <c r="Y4" s="1" t="s">
        <v>2486</v>
      </c>
      <c r="Z4" s="1" t="s">
        <v>2486</v>
      </c>
      <c r="AA4" s="1" t="s">
        <v>2486</v>
      </c>
      <c r="AB4" s="1" t="s">
        <v>2486</v>
      </c>
      <c r="AC4" s="1" t="s">
        <v>2486</v>
      </c>
      <c r="AD4" s="1" t="s">
        <v>2486</v>
      </c>
      <c r="AE4" s="1" t="s">
        <v>2486</v>
      </c>
      <c r="AF4" s="1" t="s">
        <v>2486</v>
      </c>
      <c r="AG4" s="1" t="s">
        <v>2486</v>
      </c>
      <c r="AH4" s="1" t="s">
        <v>2486</v>
      </c>
      <c r="AI4" s="1" t="s">
        <v>2486</v>
      </c>
    </row>
    <row r="5" spans="1:39">
      <c r="A5" s="1" t="s">
        <v>737</v>
      </c>
      <c r="B5" s="1"/>
      <c r="C5" s="1"/>
      <c r="D5" s="1"/>
      <c r="E5" s="1" t="s">
        <v>2133</v>
      </c>
      <c r="F5" s="1" t="s">
        <v>2133</v>
      </c>
      <c r="G5" s="1" t="s">
        <v>2133</v>
      </c>
      <c r="H5" s="1" t="s">
        <v>2133</v>
      </c>
      <c r="I5" s="1" t="s">
        <v>2133</v>
      </c>
      <c r="J5" s="1" t="s">
        <v>2133</v>
      </c>
      <c r="K5" s="1" t="s">
        <v>2133</v>
      </c>
      <c r="L5" s="1" t="s">
        <v>2133</v>
      </c>
      <c r="M5" s="1" t="s">
        <v>2133</v>
      </c>
      <c r="N5" s="1" t="s">
        <v>2133</v>
      </c>
      <c r="O5" s="1" t="s">
        <v>2133</v>
      </c>
      <c r="P5" s="1" t="s">
        <v>2133</v>
      </c>
      <c r="Q5" s="1" t="s">
        <v>2133</v>
      </c>
      <c r="R5" s="1" t="s">
        <v>2133</v>
      </c>
      <c r="S5" s="1" t="s">
        <v>2133</v>
      </c>
      <c r="T5" s="1" t="s">
        <v>2133</v>
      </c>
      <c r="U5" s="1" t="s">
        <v>2133</v>
      </c>
      <c r="V5" s="1" t="s">
        <v>2133</v>
      </c>
      <c r="W5" s="1" t="s">
        <v>2133</v>
      </c>
      <c r="X5" s="1" t="s">
        <v>2133</v>
      </c>
      <c r="Y5" s="1" t="s">
        <v>2133</v>
      </c>
      <c r="Z5" s="1" t="s">
        <v>2133</v>
      </c>
      <c r="AA5" s="1" t="s">
        <v>2133</v>
      </c>
      <c r="AB5" s="1" t="s">
        <v>2133</v>
      </c>
      <c r="AC5" s="1" t="s">
        <v>2133</v>
      </c>
      <c r="AD5" s="1" t="s">
        <v>2133</v>
      </c>
      <c r="AE5" s="1" t="s">
        <v>2133</v>
      </c>
      <c r="AF5" s="1" t="s">
        <v>2133</v>
      </c>
      <c r="AG5" s="1" t="s">
        <v>2133</v>
      </c>
      <c r="AH5" s="1" t="s">
        <v>2133</v>
      </c>
      <c r="AI5" s="1" t="s">
        <v>2133</v>
      </c>
    </row>
    <row r="6" spans="1:39">
      <c r="A6" s="42" t="s">
        <v>560</v>
      </c>
      <c r="B6" s="42"/>
      <c r="C6" s="42"/>
      <c r="D6" s="42"/>
      <c r="E6" s="42"/>
    </row>
    <row r="7" spans="1:39" ht="77">
      <c r="A7" s="7" t="s">
        <v>3334</v>
      </c>
      <c r="B7" s="42"/>
      <c r="C7" s="42"/>
      <c r="D7" s="42"/>
      <c r="E7" s="42"/>
      <c r="AM7" s="117"/>
    </row>
    <row r="8" spans="1:39" ht="13" customHeight="1">
      <c r="A8" s="9" t="s">
        <v>572</v>
      </c>
      <c r="B8" s="9" t="s">
        <v>770</v>
      </c>
      <c r="C8" s="9" t="s">
        <v>771</v>
      </c>
      <c r="D8" s="9" t="s">
        <v>772</v>
      </c>
      <c r="E8" s="118">
        <v>1984</v>
      </c>
      <c r="F8" s="118">
        <v>1985</v>
      </c>
      <c r="G8" s="118">
        <v>1986</v>
      </c>
      <c r="H8" s="118">
        <v>1987</v>
      </c>
      <c r="I8" s="118">
        <v>1988</v>
      </c>
      <c r="J8" s="118">
        <v>1989</v>
      </c>
      <c r="K8" s="118">
        <v>1990</v>
      </c>
      <c r="L8" s="118">
        <v>1991</v>
      </c>
      <c r="M8" s="118">
        <v>1992</v>
      </c>
      <c r="N8" s="118">
        <v>1993</v>
      </c>
      <c r="O8" s="118">
        <v>1994</v>
      </c>
      <c r="P8" s="118">
        <v>1995</v>
      </c>
      <c r="Q8" s="118">
        <v>1996</v>
      </c>
      <c r="R8" s="118">
        <v>1997</v>
      </c>
      <c r="S8" s="118">
        <v>1998</v>
      </c>
      <c r="T8" s="118">
        <v>1999</v>
      </c>
      <c r="U8" s="118">
        <v>2000</v>
      </c>
      <c r="V8" s="118">
        <v>2001</v>
      </c>
      <c r="W8" s="118">
        <v>2002</v>
      </c>
      <c r="X8" s="118">
        <v>2003</v>
      </c>
      <c r="Y8" s="118">
        <v>2004</v>
      </c>
      <c r="Z8" s="118">
        <v>2005</v>
      </c>
      <c r="AA8" s="118">
        <v>2006</v>
      </c>
      <c r="AB8" s="118">
        <v>2007</v>
      </c>
      <c r="AC8" s="118">
        <v>2008</v>
      </c>
      <c r="AD8" s="118">
        <v>2009</v>
      </c>
      <c r="AE8" s="118">
        <v>2010</v>
      </c>
      <c r="AF8" s="118">
        <v>2011</v>
      </c>
      <c r="AG8" s="118">
        <v>2012</v>
      </c>
      <c r="AH8" s="118">
        <v>2013</v>
      </c>
      <c r="AI8" s="118">
        <v>2014</v>
      </c>
      <c r="AJ8" s="138" t="s">
        <v>2411</v>
      </c>
      <c r="AK8" s="118"/>
      <c r="AL8" s="120"/>
      <c r="AM8" s="117" t="s">
        <v>2429</v>
      </c>
    </row>
    <row r="9" spans="1:39" ht="13" customHeight="1">
      <c r="A9" s="117" t="s">
        <v>721</v>
      </c>
      <c r="B9" s="3" t="s">
        <v>722</v>
      </c>
      <c r="C9" s="3">
        <v>22</v>
      </c>
      <c r="D9" s="3" t="s">
        <v>664</v>
      </c>
      <c r="E9" s="167">
        <v>0.13333333333333333</v>
      </c>
      <c r="F9" s="162">
        <v>0.13333333333333333</v>
      </c>
      <c r="G9" s="162">
        <v>0.13333333333333333</v>
      </c>
      <c r="H9" s="162">
        <v>0.13333333333333333</v>
      </c>
      <c r="I9" s="154"/>
      <c r="J9" s="154"/>
      <c r="K9" s="173">
        <v>0.1111111111111111</v>
      </c>
      <c r="L9" s="162">
        <v>0.1111111111111111</v>
      </c>
      <c r="M9" s="167">
        <v>0</v>
      </c>
      <c r="N9" s="162">
        <v>0</v>
      </c>
      <c r="O9" s="248" t="s">
        <v>2412</v>
      </c>
      <c r="P9" s="248" t="s">
        <v>2412</v>
      </c>
      <c r="Q9" s="175">
        <v>0.17777777777777778</v>
      </c>
      <c r="R9" s="164">
        <v>0.17777777777777778</v>
      </c>
      <c r="S9" s="162">
        <v>0.26666666666666666</v>
      </c>
      <c r="T9" s="170">
        <v>0.26666666666666666</v>
      </c>
      <c r="U9" s="169">
        <v>0.26</v>
      </c>
      <c r="V9" s="164">
        <v>0.26</v>
      </c>
      <c r="W9" s="170">
        <v>0.38</v>
      </c>
      <c r="X9" s="164">
        <v>0.38</v>
      </c>
      <c r="Y9" s="249" t="s">
        <v>2412</v>
      </c>
      <c r="Z9" s="164">
        <v>0.46</v>
      </c>
      <c r="AA9" s="162">
        <v>0.48</v>
      </c>
      <c r="AB9" s="170">
        <v>0.48</v>
      </c>
      <c r="AC9" s="170">
        <v>0.46</v>
      </c>
      <c r="AD9" s="169">
        <v>0.5</v>
      </c>
      <c r="AE9" s="164">
        <v>0.5</v>
      </c>
      <c r="AF9" s="169">
        <v>0.5</v>
      </c>
      <c r="AG9" s="164">
        <v>0.5</v>
      </c>
      <c r="AH9" s="164">
        <v>0.5</v>
      </c>
      <c r="AI9" s="152">
        <v>0.42499999999999999</v>
      </c>
      <c r="AJ9" s="11">
        <f t="shared" ref="AJ9:AJ32" si="0">COUNT(E9:AI9)</f>
        <v>26</v>
      </c>
      <c r="AK9" s="120"/>
      <c r="AL9" s="120"/>
      <c r="AM9" s="117" t="s">
        <v>2447</v>
      </c>
    </row>
    <row r="10" spans="1:39" ht="13" customHeight="1">
      <c r="A10" s="117" t="s">
        <v>542</v>
      </c>
      <c r="B10" s="3" t="s">
        <v>543</v>
      </c>
      <c r="C10" s="3">
        <v>6</v>
      </c>
      <c r="D10" s="3" t="s">
        <v>759</v>
      </c>
      <c r="E10" s="152">
        <v>0.1388888888888889</v>
      </c>
      <c r="F10" s="152">
        <v>0.1388888888888889</v>
      </c>
      <c r="G10" s="152">
        <v>0.1388888888888889</v>
      </c>
      <c r="H10" s="152">
        <v>0.1388888888888889</v>
      </c>
      <c r="I10" s="154">
        <v>6.0606060606060608E-2</v>
      </c>
      <c r="J10" s="154">
        <v>6.0606060606060608E-2</v>
      </c>
      <c r="K10" s="154">
        <v>6.0606060606060608E-2</v>
      </c>
      <c r="L10" s="154">
        <v>6.0606060606060608E-2</v>
      </c>
      <c r="M10" s="152">
        <v>6.0606060606060608E-2</v>
      </c>
      <c r="N10" s="152">
        <v>6.0606060606060608E-2</v>
      </c>
      <c r="O10" s="152">
        <v>6.0606060606060608E-2</v>
      </c>
      <c r="P10" s="152">
        <v>6.0606060606060608E-2</v>
      </c>
      <c r="Q10" s="154">
        <v>0.27272727272727271</v>
      </c>
      <c r="R10" s="154">
        <v>0.27272727272727271</v>
      </c>
      <c r="S10" s="154">
        <v>0.22727272727272727</v>
      </c>
      <c r="T10" s="154">
        <v>0.22727272727272727</v>
      </c>
      <c r="U10" s="152">
        <v>0.2878787878787879</v>
      </c>
      <c r="V10" s="152">
        <v>0.30303030303030304</v>
      </c>
      <c r="W10" s="154">
        <v>0.35714285714285715</v>
      </c>
      <c r="X10" s="154">
        <v>0.37142857142857144</v>
      </c>
      <c r="Y10" s="152">
        <v>0.3</v>
      </c>
      <c r="Z10" s="152">
        <v>0.3</v>
      </c>
      <c r="AA10" s="152">
        <v>0.31428571428571428</v>
      </c>
      <c r="AB10" s="152">
        <v>0.32857142857142857</v>
      </c>
      <c r="AC10" s="154">
        <v>0.31428571428571428</v>
      </c>
      <c r="AD10" s="154">
        <v>0.3</v>
      </c>
      <c r="AE10" s="154">
        <v>0.32857142857142857</v>
      </c>
      <c r="AF10" s="154">
        <v>0.31428571428571428</v>
      </c>
      <c r="AG10" s="152">
        <v>0.44285714285714284</v>
      </c>
      <c r="AH10" s="152">
        <v>0.44285714285714284</v>
      </c>
      <c r="AI10" s="152">
        <v>0.41428571428571431</v>
      </c>
      <c r="AJ10" s="11">
        <f t="shared" si="0"/>
        <v>31</v>
      </c>
      <c r="AK10" s="120"/>
      <c r="AL10" s="120"/>
      <c r="AM10" s="117" t="s">
        <v>2435</v>
      </c>
    </row>
    <row r="11" spans="1:39" ht="13" customHeight="1">
      <c r="A11" s="117" t="s">
        <v>665</v>
      </c>
      <c r="B11" s="3" t="s">
        <v>640</v>
      </c>
      <c r="C11" s="3">
        <v>4</v>
      </c>
      <c r="D11" s="3" t="s">
        <v>641</v>
      </c>
      <c r="E11" s="152">
        <v>0.13333333333333333</v>
      </c>
      <c r="F11" s="152">
        <v>0.13333333333333333</v>
      </c>
      <c r="G11" s="153">
        <v>0.15625</v>
      </c>
      <c r="H11" s="153">
        <v>0.125</v>
      </c>
      <c r="I11" s="152">
        <v>9.375E-2</v>
      </c>
      <c r="J11" s="152">
        <v>9.375E-2</v>
      </c>
      <c r="K11" s="153">
        <v>9.375E-2</v>
      </c>
      <c r="L11" s="153">
        <v>9.375E-2</v>
      </c>
      <c r="M11" s="152">
        <v>9.375E-2</v>
      </c>
      <c r="N11" s="152">
        <v>6.25E-2</v>
      </c>
      <c r="O11" s="153">
        <v>0.15625</v>
      </c>
      <c r="P11" s="153">
        <v>0.1875</v>
      </c>
      <c r="Q11" s="152">
        <v>0.34375</v>
      </c>
      <c r="R11" s="152">
        <v>0.34375</v>
      </c>
      <c r="S11" s="153">
        <v>0.28125</v>
      </c>
      <c r="T11" s="153">
        <v>0.28125</v>
      </c>
      <c r="U11" s="152">
        <v>0.25</v>
      </c>
      <c r="V11" s="152">
        <v>0.25</v>
      </c>
      <c r="W11" s="153">
        <v>0.28125</v>
      </c>
      <c r="X11" s="153">
        <v>0.28125</v>
      </c>
      <c r="Y11" s="152">
        <v>0.34375</v>
      </c>
      <c r="Z11" s="152">
        <v>0.34375</v>
      </c>
      <c r="AA11" s="153">
        <v>0.375</v>
      </c>
      <c r="AB11" s="153">
        <v>0.375</v>
      </c>
      <c r="AC11" s="152">
        <v>0.375</v>
      </c>
      <c r="AD11" s="152">
        <v>0.34375</v>
      </c>
      <c r="AE11" s="153">
        <v>0.34375</v>
      </c>
      <c r="AF11" s="153">
        <v>0.34375</v>
      </c>
      <c r="AG11" s="152">
        <v>0.3125</v>
      </c>
      <c r="AH11" s="152">
        <v>0.3125</v>
      </c>
      <c r="AI11" s="153">
        <v>0.40625</v>
      </c>
      <c r="AJ11" s="11">
        <f t="shared" si="0"/>
        <v>31</v>
      </c>
      <c r="AK11" s="120"/>
      <c r="AL11" s="120"/>
      <c r="AM11" s="117" t="s">
        <v>2433</v>
      </c>
    </row>
    <row r="12" spans="1:39" ht="13" customHeight="1">
      <c r="A12" s="117" t="s">
        <v>723</v>
      </c>
      <c r="B12" s="3" t="s">
        <v>724</v>
      </c>
      <c r="C12" s="3">
        <v>23</v>
      </c>
      <c r="D12" s="3" t="s">
        <v>541</v>
      </c>
      <c r="E12" s="152">
        <v>6.6666666666666666E-2</v>
      </c>
      <c r="F12" s="162">
        <v>6.6666666666666666E-2</v>
      </c>
      <c r="G12" s="154"/>
      <c r="H12" s="154"/>
      <c r="I12" s="154"/>
      <c r="J12" s="154"/>
      <c r="K12" s="152">
        <v>0.2</v>
      </c>
      <c r="L12" s="152">
        <v>0.26666666666666666</v>
      </c>
      <c r="M12" s="154">
        <v>0.33333333333333331</v>
      </c>
      <c r="N12" s="154">
        <v>0.33333333333333331</v>
      </c>
      <c r="O12" s="152">
        <v>0.33333333333333331</v>
      </c>
      <c r="P12" s="152">
        <v>0.33333333333333331</v>
      </c>
      <c r="Q12" s="153">
        <v>0.13333333333333333</v>
      </c>
      <c r="R12" s="153">
        <v>0.13333333333333333</v>
      </c>
      <c r="S12" s="153">
        <v>0.13333333333333333</v>
      </c>
      <c r="T12" s="153">
        <v>0.2</v>
      </c>
      <c r="U12" s="152">
        <v>0.33333333333333331</v>
      </c>
      <c r="V12" s="152">
        <v>0.33333333333333331</v>
      </c>
      <c r="W12" s="152">
        <v>0.33333333333333331</v>
      </c>
      <c r="X12" s="152">
        <v>0.33333333333333331</v>
      </c>
      <c r="Y12" s="153">
        <v>0.33333333333333331</v>
      </c>
      <c r="Z12" s="153">
        <v>0.33333333333333331</v>
      </c>
      <c r="AA12" s="153">
        <v>0.33333333333333331</v>
      </c>
      <c r="AB12" s="153">
        <v>0.33333333333333331</v>
      </c>
      <c r="AC12" s="152">
        <v>0.26666666666666666</v>
      </c>
      <c r="AD12" s="152">
        <v>0.26666666666666666</v>
      </c>
      <c r="AE12" s="152">
        <v>0.26666666666666666</v>
      </c>
      <c r="AF12" s="152">
        <v>0.26666666666666666</v>
      </c>
      <c r="AG12" s="153">
        <v>0.4</v>
      </c>
      <c r="AH12" s="153">
        <v>0.4</v>
      </c>
      <c r="AI12" s="153">
        <v>0.4</v>
      </c>
      <c r="AJ12" s="11">
        <f t="shared" si="0"/>
        <v>27</v>
      </c>
      <c r="AK12" s="120"/>
      <c r="AL12" s="120"/>
      <c r="AM12" s="117" t="s">
        <v>2448</v>
      </c>
    </row>
    <row r="13" spans="1:39" ht="13" customHeight="1">
      <c r="A13" s="117" t="s">
        <v>622</v>
      </c>
      <c r="B13" s="3" t="s">
        <v>925</v>
      </c>
      <c r="C13" s="3">
        <v>16</v>
      </c>
      <c r="D13" s="3" t="s">
        <v>541</v>
      </c>
      <c r="E13" s="167">
        <v>8.3333333333333329E-2</v>
      </c>
      <c r="F13" s="162">
        <v>8.3333333333333329E-2</v>
      </c>
      <c r="G13" s="162">
        <v>8.3333333333333329E-2</v>
      </c>
      <c r="H13" s="162">
        <v>8.3333333333333329E-2</v>
      </c>
      <c r="I13" s="163"/>
      <c r="J13" s="163"/>
      <c r="K13" s="163"/>
      <c r="L13" s="172"/>
      <c r="M13" s="162">
        <v>0.16279069767441862</v>
      </c>
      <c r="N13" s="162">
        <v>0.16279069767441862</v>
      </c>
      <c r="O13" s="152">
        <v>0.16279069767441862</v>
      </c>
      <c r="P13" s="162">
        <v>0.16279069767441862</v>
      </c>
      <c r="Q13" s="172">
        <v>0.2558139534883721</v>
      </c>
      <c r="R13" s="163">
        <v>0.2558139534883721</v>
      </c>
      <c r="S13" s="163">
        <v>0.2558139534883721</v>
      </c>
      <c r="T13" s="163">
        <v>0.2558139534883721</v>
      </c>
      <c r="U13" s="152">
        <v>0.23255813953488372</v>
      </c>
      <c r="V13" s="152">
        <v>0.23255813953488372</v>
      </c>
      <c r="W13" s="152">
        <v>0.23255813953488372</v>
      </c>
      <c r="X13" s="152">
        <v>0.23255813953488372</v>
      </c>
      <c r="Y13" s="153">
        <v>0.37209302325581395</v>
      </c>
      <c r="Z13" s="153">
        <v>0.37209302325581395</v>
      </c>
      <c r="AA13" s="153">
        <v>0.37209302325581395</v>
      </c>
      <c r="AB13" s="153">
        <v>0.34883720930232559</v>
      </c>
      <c r="AC13" s="152">
        <v>0.39534883720930231</v>
      </c>
      <c r="AD13" s="152">
        <v>0.39534883720930231</v>
      </c>
      <c r="AE13" s="152">
        <v>0.41860465116279072</v>
      </c>
      <c r="AF13" s="152">
        <v>0.41860465116279072</v>
      </c>
      <c r="AG13" s="153">
        <v>0.39130434782608697</v>
      </c>
      <c r="AH13" s="153">
        <v>0.41304347826086957</v>
      </c>
      <c r="AI13" s="153">
        <v>0.39130434782608697</v>
      </c>
      <c r="AJ13" s="11">
        <f t="shared" si="0"/>
        <v>27</v>
      </c>
      <c r="AK13" s="120"/>
      <c r="AL13" s="120"/>
      <c r="AM13" s="117" t="s">
        <v>3338</v>
      </c>
    </row>
    <row r="14" spans="1:39" ht="13" customHeight="1">
      <c r="A14" s="117" t="s">
        <v>667</v>
      </c>
      <c r="B14" s="3" t="s">
        <v>668</v>
      </c>
      <c r="C14" s="3">
        <v>2</v>
      </c>
      <c r="D14" s="3" t="s">
        <v>759</v>
      </c>
      <c r="E14" s="165">
        <v>0.1</v>
      </c>
      <c r="F14" s="162">
        <v>0.1</v>
      </c>
      <c r="G14" s="166">
        <v>0.11666666666666667</v>
      </c>
      <c r="H14" s="163">
        <v>0.11666666666666667</v>
      </c>
      <c r="I14" s="165">
        <v>3.3333333333333333E-2</v>
      </c>
      <c r="J14" s="162">
        <v>3.3333333333333333E-2</v>
      </c>
      <c r="K14" s="166">
        <v>3.3333333333333333E-2</v>
      </c>
      <c r="L14" s="163">
        <v>3.3333333333333333E-2</v>
      </c>
      <c r="M14" s="165">
        <v>6.6666666666666666E-2</v>
      </c>
      <c r="N14" s="162">
        <v>6.6666666666666666E-2</v>
      </c>
      <c r="O14" s="166">
        <v>0.16666666666666666</v>
      </c>
      <c r="P14" s="163">
        <v>0.16666666666666666</v>
      </c>
      <c r="Q14" s="166">
        <v>0.15</v>
      </c>
      <c r="R14" s="163">
        <v>0.15</v>
      </c>
      <c r="S14" s="152">
        <v>0.35</v>
      </c>
      <c r="T14" s="152">
        <v>0.35</v>
      </c>
      <c r="U14" s="152">
        <v>0.36666666666666664</v>
      </c>
      <c r="V14" s="153">
        <v>0.36666666666666664</v>
      </c>
      <c r="W14" s="153">
        <v>0.33333333333333331</v>
      </c>
      <c r="X14" s="153">
        <v>0.33333333333333331</v>
      </c>
      <c r="Y14" s="152">
        <v>0.4</v>
      </c>
      <c r="Z14" s="152">
        <v>0.36666666666666664</v>
      </c>
      <c r="AA14" s="153">
        <v>0.36666666666666664</v>
      </c>
      <c r="AB14" s="153">
        <v>0.36666666666666664</v>
      </c>
      <c r="AC14" s="152">
        <v>0.36666666666666664</v>
      </c>
      <c r="AD14" s="152">
        <v>0.35</v>
      </c>
      <c r="AE14" s="153">
        <v>0.35</v>
      </c>
      <c r="AF14" s="153">
        <v>0.35</v>
      </c>
      <c r="AG14" s="152">
        <v>0.35</v>
      </c>
      <c r="AH14" s="152">
        <v>0.35</v>
      </c>
      <c r="AI14" s="153">
        <v>0.38333333333333336</v>
      </c>
      <c r="AJ14" s="11">
        <f t="shared" si="0"/>
        <v>31</v>
      </c>
      <c r="AK14" s="120"/>
      <c r="AL14" s="120"/>
      <c r="AM14" s="117" t="s">
        <v>2431</v>
      </c>
    </row>
    <row r="15" spans="1:39" ht="13" customHeight="1">
      <c r="A15" s="117" t="s">
        <v>634</v>
      </c>
      <c r="B15" s="3" t="s">
        <v>715</v>
      </c>
      <c r="C15" s="3">
        <v>10</v>
      </c>
      <c r="D15" s="3" t="s">
        <v>664</v>
      </c>
      <c r="E15" s="152">
        <v>3.3333333333333333E-2</v>
      </c>
      <c r="F15" s="152">
        <v>3.3333333333333333E-2</v>
      </c>
      <c r="G15" s="153">
        <v>3.3333333333333333E-2</v>
      </c>
      <c r="H15" s="153">
        <v>3.3333333333333333E-2</v>
      </c>
      <c r="I15" s="152">
        <v>8.3333333333333329E-2</v>
      </c>
      <c r="J15" s="152">
        <v>8.3333333333333329E-2</v>
      </c>
      <c r="K15" s="153">
        <v>0.125</v>
      </c>
      <c r="L15" s="153">
        <v>0.125</v>
      </c>
      <c r="M15" s="152">
        <v>0.125</v>
      </c>
      <c r="N15" s="152">
        <v>0.125</v>
      </c>
      <c r="O15" s="153">
        <v>0.20833333333333334</v>
      </c>
      <c r="P15" s="153">
        <v>0.20833333333333334</v>
      </c>
      <c r="Q15" s="152">
        <v>0.27083333333333331</v>
      </c>
      <c r="R15" s="152">
        <v>0.27083333333333331</v>
      </c>
      <c r="S15" s="153">
        <v>0.25</v>
      </c>
      <c r="T15" s="153">
        <v>0.25</v>
      </c>
      <c r="U15" s="152">
        <v>0.20833333333333334</v>
      </c>
      <c r="V15" s="152">
        <v>0.20833333333333334</v>
      </c>
      <c r="W15" s="153">
        <v>0.25</v>
      </c>
      <c r="X15" s="153">
        <v>0.25</v>
      </c>
      <c r="Y15" s="152">
        <v>0.27083333333333331</v>
      </c>
      <c r="Z15" s="152">
        <v>0.27083333333333331</v>
      </c>
      <c r="AA15" s="153">
        <v>0.27083333333333331</v>
      </c>
      <c r="AB15" s="153">
        <v>0.27083333333333331</v>
      </c>
      <c r="AC15" s="152">
        <v>0.25</v>
      </c>
      <c r="AD15" s="152">
        <v>0.25</v>
      </c>
      <c r="AE15" s="153">
        <v>0.3125</v>
      </c>
      <c r="AF15" s="153">
        <v>0.3125</v>
      </c>
      <c r="AG15" s="155">
        <v>0.33333333333333331</v>
      </c>
      <c r="AH15" s="155">
        <v>0.33333333333333331</v>
      </c>
      <c r="AI15" s="153">
        <v>0.35416666666666669</v>
      </c>
      <c r="AJ15" s="11">
        <f t="shared" si="0"/>
        <v>31</v>
      </c>
      <c r="AK15" s="120"/>
      <c r="AL15" s="120"/>
      <c r="AM15" s="117" t="s">
        <v>2438</v>
      </c>
    </row>
    <row r="16" spans="1:39" ht="13" customHeight="1">
      <c r="A16" s="117" t="s">
        <v>669</v>
      </c>
      <c r="B16" s="3" t="s">
        <v>663</v>
      </c>
      <c r="C16" s="3">
        <v>3</v>
      </c>
      <c r="D16" s="3" t="s">
        <v>664</v>
      </c>
      <c r="E16" s="167">
        <v>9.0909090909090912E-2</v>
      </c>
      <c r="F16" s="162">
        <v>9.0909090909090912E-2</v>
      </c>
      <c r="G16" s="153"/>
      <c r="H16" s="153"/>
      <c r="I16" s="152"/>
      <c r="J16" s="152"/>
      <c r="K16" s="168">
        <v>0.12121212121212122</v>
      </c>
      <c r="L16" s="163">
        <v>0.12121212121212122</v>
      </c>
      <c r="M16" s="167">
        <v>9.7560975609756101E-2</v>
      </c>
      <c r="N16" s="162">
        <v>9.7560975609756101E-2</v>
      </c>
      <c r="O16" s="168">
        <v>4.878048780487805E-2</v>
      </c>
      <c r="P16" s="163">
        <v>4.878048780487805E-2</v>
      </c>
      <c r="Q16" s="167">
        <v>0.14634146341463414</v>
      </c>
      <c r="R16" s="162">
        <v>0.14634146341463414</v>
      </c>
      <c r="S16" s="163"/>
      <c r="T16" s="169"/>
      <c r="U16" s="170">
        <v>0.1951219512195122</v>
      </c>
      <c r="V16" s="162">
        <v>0.1951219512195122</v>
      </c>
      <c r="W16" s="176">
        <v>0.36585365853658536</v>
      </c>
      <c r="X16" s="163">
        <v>0.36585365853658536</v>
      </c>
      <c r="Y16" s="152">
        <v>0.29268292682926828</v>
      </c>
      <c r="Z16" s="152">
        <v>0.29268292682926828</v>
      </c>
      <c r="AA16" s="163">
        <v>0.31707317073170732</v>
      </c>
      <c r="AB16" s="171">
        <v>0.31707317073170732</v>
      </c>
      <c r="AC16" s="170">
        <v>0.31707317073170732</v>
      </c>
      <c r="AD16" s="162">
        <v>0.31707317073170732</v>
      </c>
      <c r="AE16" s="153">
        <v>0.29268292682926828</v>
      </c>
      <c r="AF16" s="163">
        <v>0.29268292682926828</v>
      </c>
      <c r="AG16" s="152">
        <v>0.31707317073170732</v>
      </c>
      <c r="AH16" s="152">
        <v>0.31707317073170732</v>
      </c>
      <c r="AI16" s="153">
        <v>0.34146341463414637</v>
      </c>
      <c r="AJ16" s="11">
        <f t="shared" si="0"/>
        <v>25</v>
      </c>
      <c r="AK16" s="120"/>
      <c r="AL16" s="120"/>
      <c r="AM16" s="117" t="s">
        <v>2432</v>
      </c>
    </row>
    <row r="17" spans="1:39" ht="13" customHeight="1">
      <c r="A17" s="117" t="s">
        <v>539</v>
      </c>
      <c r="B17" s="3" t="s">
        <v>540</v>
      </c>
      <c r="C17" s="3">
        <v>5</v>
      </c>
      <c r="D17" s="3" t="s">
        <v>541</v>
      </c>
      <c r="E17" s="152">
        <v>7.407407407407407E-2</v>
      </c>
      <c r="F17" s="162">
        <v>7.407407407407407E-2</v>
      </c>
      <c r="G17" s="162">
        <v>7.407407407407407E-2</v>
      </c>
      <c r="H17" s="162">
        <v>7.407407407407407E-2</v>
      </c>
      <c r="I17" s="153">
        <v>0.1111111111111111</v>
      </c>
      <c r="J17" s="163">
        <v>0.1111111111111111</v>
      </c>
      <c r="K17" s="163">
        <v>0.1111111111111111</v>
      </c>
      <c r="L17" s="163">
        <v>0.1111111111111111</v>
      </c>
      <c r="M17" s="152">
        <v>0.1111111111111111</v>
      </c>
      <c r="N17" s="162">
        <v>0.1111111111111111</v>
      </c>
      <c r="O17" s="162">
        <v>0.1111111111111111</v>
      </c>
      <c r="P17" s="162">
        <v>0.1111111111111111</v>
      </c>
      <c r="Q17" s="153">
        <v>0.25925925925925924</v>
      </c>
      <c r="R17" s="163">
        <v>0.25925925925925924</v>
      </c>
      <c r="S17" s="163">
        <v>0.25925925925925924</v>
      </c>
      <c r="T17" s="163">
        <v>0.25925925925925924</v>
      </c>
      <c r="U17" s="152">
        <v>0.29629629629629628</v>
      </c>
      <c r="V17" s="162">
        <v>0.29629629629629628</v>
      </c>
      <c r="W17" s="162">
        <v>0.29629629629629628</v>
      </c>
      <c r="X17" s="162">
        <v>0.29629629629629628</v>
      </c>
      <c r="Y17" s="153">
        <v>0.29629629629629628</v>
      </c>
      <c r="Z17" s="163">
        <v>0.29629629629629628</v>
      </c>
      <c r="AA17" s="163">
        <v>0.29629629629629628</v>
      </c>
      <c r="AB17" s="171">
        <v>0.29629629629629628</v>
      </c>
      <c r="AC17" s="152">
        <v>0.29629629629629628</v>
      </c>
      <c r="AD17" s="162">
        <v>0.29629629629629628</v>
      </c>
      <c r="AE17" s="162">
        <v>0.29629629629629628</v>
      </c>
      <c r="AF17" s="162">
        <v>0.29629629629629628</v>
      </c>
      <c r="AG17" s="153">
        <v>0.33333333333333331</v>
      </c>
      <c r="AH17" s="153">
        <v>0.33333333333333331</v>
      </c>
      <c r="AI17" s="152">
        <v>0.33333333333333331</v>
      </c>
      <c r="AJ17" s="11">
        <f t="shared" si="0"/>
        <v>31</v>
      </c>
      <c r="AK17" s="120"/>
      <c r="AL17" s="120"/>
      <c r="AM17" s="117" t="s">
        <v>2434</v>
      </c>
    </row>
    <row r="18" spans="1:39" ht="13" customHeight="1">
      <c r="A18" s="117" t="s">
        <v>632</v>
      </c>
      <c r="B18" s="3" t="s">
        <v>633</v>
      </c>
      <c r="C18" s="3">
        <v>9</v>
      </c>
      <c r="D18" s="3" t="s">
        <v>641</v>
      </c>
      <c r="E18" s="152">
        <v>6.6666666666666666E-2</v>
      </c>
      <c r="F18" s="152">
        <v>6.6666666666666666E-2</v>
      </c>
      <c r="G18" s="153">
        <v>6.6666666666666666E-2</v>
      </c>
      <c r="H18" s="153">
        <v>6.6666666666666666E-2</v>
      </c>
      <c r="I18" s="152">
        <v>0.1</v>
      </c>
      <c r="J18" s="152">
        <v>0.1</v>
      </c>
      <c r="K18" s="153">
        <v>0.13333333333333333</v>
      </c>
      <c r="L18" s="153">
        <v>0.16666666666666666</v>
      </c>
      <c r="M18" s="152">
        <v>0.16666666666666666</v>
      </c>
      <c r="N18" s="152">
        <v>0.16666666666666666</v>
      </c>
      <c r="O18" s="153">
        <v>0.13333333333333333</v>
      </c>
      <c r="P18" s="153">
        <v>0.13333333333333333</v>
      </c>
      <c r="Q18" s="152">
        <v>0.1</v>
      </c>
      <c r="R18" s="152">
        <v>0.1</v>
      </c>
      <c r="S18" s="153">
        <v>0.2</v>
      </c>
      <c r="T18" s="153">
        <v>0.2</v>
      </c>
      <c r="U18" s="152">
        <v>0.36666666666666664</v>
      </c>
      <c r="V18" s="152">
        <v>0.36666666666666664</v>
      </c>
      <c r="W18" s="153">
        <v>0.36666666666666664</v>
      </c>
      <c r="X18" s="153">
        <v>0.36666666666666664</v>
      </c>
      <c r="Y18" s="152">
        <v>0.33333333333333331</v>
      </c>
      <c r="Z18" s="152">
        <v>0.33333333333333331</v>
      </c>
      <c r="AA18" s="153">
        <v>0.36666666666666664</v>
      </c>
      <c r="AB18" s="153">
        <v>0.36666666666666664</v>
      </c>
      <c r="AC18" s="152">
        <v>0.36666666666666664</v>
      </c>
      <c r="AD18" s="152">
        <v>0.36666666666666664</v>
      </c>
      <c r="AE18" s="153">
        <v>0.3</v>
      </c>
      <c r="AF18" s="153">
        <v>0.3</v>
      </c>
      <c r="AG18" s="155">
        <v>0.3</v>
      </c>
      <c r="AH18" s="155">
        <v>0.3</v>
      </c>
      <c r="AI18" s="153">
        <v>0.33333333333333331</v>
      </c>
      <c r="AJ18" s="11">
        <f t="shared" si="0"/>
        <v>31</v>
      </c>
      <c r="AK18" s="120"/>
      <c r="AL18" s="120"/>
      <c r="AM18" s="117" t="s">
        <v>2437</v>
      </c>
    </row>
    <row r="19" spans="1:39" ht="13" customHeight="1">
      <c r="A19" s="117" t="s">
        <v>2018</v>
      </c>
      <c r="B19" s="3" t="s">
        <v>747</v>
      </c>
      <c r="C19" s="3">
        <v>21</v>
      </c>
      <c r="D19" s="3" t="s">
        <v>759</v>
      </c>
      <c r="E19" s="165">
        <v>0.04</v>
      </c>
      <c r="F19" s="165">
        <v>0.04</v>
      </c>
      <c r="G19" s="165">
        <v>0.04</v>
      </c>
      <c r="H19" s="165">
        <v>0.04</v>
      </c>
      <c r="I19" s="174">
        <v>0</v>
      </c>
      <c r="J19" s="174">
        <v>0</v>
      </c>
      <c r="K19" s="174">
        <v>0</v>
      </c>
      <c r="L19" s="174">
        <v>0</v>
      </c>
      <c r="M19" s="165">
        <v>0.04</v>
      </c>
      <c r="N19" s="165">
        <v>0.04</v>
      </c>
      <c r="O19" s="165">
        <v>0.04</v>
      </c>
      <c r="P19" s="165">
        <v>0.04</v>
      </c>
      <c r="Q19" s="174">
        <v>0.28000000000000003</v>
      </c>
      <c r="R19" s="174">
        <v>0.28000000000000003</v>
      </c>
      <c r="S19" s="174">
        <v>0.28000000000000003</v>
      </c>
      <c r="T19" s="174">
        <v>0.28000000000000003</v>
      </c>
      <c r="U19" s="165">
        <v>0.28000000000000003</v>
      </c>
      <c r="V19" s="165">
        <v>0.28000000000000003</v>
      </c>
      <c r="W19" s="165">
        <v>0.28000000000000003</v>
      </c>
      <c r="X19" s="165">
        <v>0.28000000000000003</v>
      </c>
      <c r="Y19" s="166">
        <v>0.32</v>
      </c>
      <c r="Z19" s="163">
        <v>0.32</v>
      </c>
      <c r="AA19" s="153">
        <v>0.34</v>
      </c>
      <c r="AB19" s="153">
        <v>0.34</v>
      </c>
      <c r="AC19" s="152">
        <v>0.32</v>
      </c>
      <c r="AD19" s="152">
        <v>0.32</v>
      </c>
      <c r="AE19" s="152">
        <v>0.32</v>
      </c>
      <c r="AF19" s="152">
        <v>0.32</v>
      </c>
      <c r="AG19" s="153">
        <v>0.34</v>
      </c>
      <c r="AH19" s="153">
        <v>0.32</v>
      </c>
      <c r="AI19" s="153">
        <v>0.32</v>
      </c>
      <c r="AJ19" s="11">
        <f t="shared" si="0"/>
        <v>31</v>
      </c>
      <c r="AK19" s="120"/>
      <c r="AL19" s="120"/>
      <c r="AM19" s="117" t="s">
        <v>2446</v>
      </c>
    </row>
    <row r="20" spans="1:39" ht="13" customHeight="1">
      <c r="A20" s="117" t="s">
        <v>628</v>
      </c>
      <c r="B20" s="3" t="s">
        <v>629</v>
      </c>
      <c r="C20" s="3">
        <v>7</v>
      </c>
      <c r="D20" s="3" t="s">
        <v>641</v>
      </c>
      <c r="E20" s="152">
        <v>0.15384615384615385</v>
      </c>
      <c r="F20" s="162">
        <v>0.15384615384615385</v>
      </c>
      <c r="G20" s="153"/>
      <c r="H20" s="153"/>
      <c r="I20" s="152"/>
      <c r="J20" s="152"/>
      <c r="K20" s="153">
        <v>3.8461538461538464E-2</v>
      </c>
      <c r="L20" s="163">
        <v>3.8461538461538464E-2</v>
      </c>
      <c r="M20" s="152">
        <v>0</v>
      </c>
      <c r="N20" s="162">
        <v>0</v>
      </c>
      <c r="O20" s="153">
        <v>7.6923076923076927E-2</v>
      </c>
      <c r="P20" s="163">
        <v>7.6923076923076927E-2</v>
      </c>
      <c r="Q20" s="152">
        <v>0.11538461538461539</v>
      </c>
      <c r="R20" s="162">
        <v>0.11538461538461539</v>
      </c>
      <c r="S20" s="153">
        <v>7.6923076923076927E-2</v>
      </c>
      <c r="T20" s="163">
        <v>7.6923076923076927E-2</v>
      </c>
      <c r="U20" s="152">
        <v>7.6923076923076927E-2</v>
      </c>
      <c r="V20" s="248" t="s">
        <v>2412</v>
      </c>
      <c r="W20" s="176">
        <v>0.30769230769230771</v>
      </c>
      <c r="X20" s="163">
        <v>0.30769230769230771</v>
      </c>
      <c r="Y20" s="152">
        <v>0.38461538461538464</v>
      </c>
      <c r="Z20" s="152">
        <v>0.38461538461538464</v>
      </c>
      <c r="AA20" s="153">
        <v>0.38461538461538464</v>
      </c>
      <c r="AB20" s="153">
        <v>0.38461538461538464</v>
      </c>
      <c r="AC20" s="152">
        <v>0.38461538461538464</v>
      </c>
      <c r="AD20" s="152">
        <v>0.38461538461538464</v>
      </c>
      <c r="AE20" s="153">
        <v>0.38461538461538464</v>
      </c>
      <c r="AF20" s="153">
        <v>0.38461538461538464</v>
      </c>
      <c r="AG20" s="152">
        <v>0.30769230769230771</v>
      </c>
      <c r="AH20" s="152">
        <v>0.30769230769230771</v>
      </c>
      <c r="AI20" s="153">
        <v>0.3</v>
      </c>
      <c r="AJ20" s="11">
        <f t="shared" si="0"/>
        <v>26</v>
      </c>
      <c r="AK20" s="120"/>
      <c r="AL20" s="120"/>
      <c r="AM20" s="117" t="s">
        <v>2506</v>
      </c>
    </row>
    <row r="21" spans="1:39" ht="13" customHeight="1">
      <c r="A21" s="117" t="s">
        <v>714</v>
      </c>
      <c r="B21" s="3" t="s">
        <v>530</v>
      </c>
      <c r="C21" s="3">
        <v>14</v>
      </c>
      <c r="D21" s="3" t="s">
        <v>641</v>
      </c>
      <c r="E21" s="152">
        <v>0.125</v>
      </c>
      <c r="F21" s="152">
        <v>0.125</v>
      </c>
      <c r="G21" s="153">
        <v>0.125</v>
      </c>
      <c r="H21" s="153">
        <v>0.1</v>
      </c>
      <c r="I21" s="152">
        <v>7.4999999999999997E-2</v>
      </c>
      <c r="J21" s="152">
        <v>7.4999999999999997E-2</v>
      </c>
      <c r="K21" s="153">
        <v>0.125</v>
      </c>
      <c r="L21" s="153">
        <v>0.125</v>
      </c>
      <c r="M21" s="152">
        <v>0.15</v>
      </c>
      <c r="N21" s="152">
        <v>0.15</v>
      </c>
      <c r="O21" s="153">
        <v>0.25</v>
      </c>
      <c r="P21" s="153">
        <v>0.25</v>
      </c>
      <c r="Q21" s="152">
        <v>0.27500000000000002</v>
      </c>
      <c r="R21" s="152">
        <v>0.27500000000000002</v>
      </c>
      <c r="S21" s="153">
        <v>0.3</v>
      </c>
      <c r="T21" s="153">
        <v>0.3</v>
      </c>
      <c r="U21" s="152">
        <v>0.3</v>
      </c>
      <c r="V21" s="152">
        <v>0.3</v>
      </c>
      <c r="W21" s="153">
        <v>0.3</v>
      </c>
      <c r="X21" s="153">
        <v>0.3</v>
      </c>
      <c r="Y21" s="152">
        <v>0.25714285714285712</v>
      </c>
      <c r="Z21" s="152">
        <v>0.25714285714285712</v>
      </c>
      <c r="AA21" s="153">
        <v>0.2857142857142857</v>
      </c>
      <c r="AB21" s="153">
        <v>0.2857142857142857</v>
      </c>
      <c r="AC21" s="152">
        <v>0.3</v>
      </c>
      <c r="AD21" s="152">
        <v>0.3</v>
      </c>
      <c r="AE21" s="153">
        <v>0.22500000000000001</v>
      </c>
      <c r="AF21" s="153">
        <v>0.25</v>
      </c>
      <c r="AG21" s="152">
        <v>0.3</v>
      </c>
      <c r="AH21" s="152">
        <v>0.3</v>
      </c>
      <c r="AI21" s="153">
        <v>0.3</v>
      </c>
      <c r="AJ21" s="11">
        <f t="shared" si="0"/>
        <v>31</v>
      </c>
      <c r="AK21" s="120"/>
      <c r="AL21" s="120"/>
      <c r="AM21" s="117" t="s">
        <v>2440</v>
      </c>
    </row>
    <row r="22" spans="1:39" ht="13" customHeight="1">
      <c r="A22" s="117" t="s">
        <v>716</v>
      </c>
      <c r="B22" s="3" t="s">
        <v>717</v>
      </c>
      <c r="C22" s="3">
        <v>11</v>
      </c>
      <c r="D22" s="3" t="s">
        <v>541</v>
      </c>
      <c r="E22" s="152">
        <v>4.7619047619047616E-2</v>
      </c>
      <c r="F22" s="152">
        <v>4.7619047619047616E-2</v>
      </c>
      <c r="G22" s="152">
        <v>4.7619047619047616E-2</v>
      </c>
      <c r="H22" s="152">
        <v>4.7619047619047616E-2</v>
      </c>
      <c r="I22" s="153">
        <v>9.5238095238095233E-2</v>
      </c>
      <c r="J22" s="153">
        <v>9.5238095238095233E-2</v>
      </c>
      <c r="K22" s="153">
        <v>9.5238095238095233E-2</v>
      </c>
      <c r="L22" s="153">
        <v>9.5238095238095233E-2</v>
      </c>
      <c r="M22" s="152">
        <v>9.5238095238095233E-2</v>
      </c>
      <c r="N22" s="152">
        <v>9.5238095238095233E-2</v>
      </c>
      <c r="O22" s="152">
        <v>9.5238095238095233E-2</v>
      </c>
      <c r="P22" s="152">
        <v>9.5238095238095233E-2</v>
      </c>
      <c r="Q22" s="153">
        <v>0.26923076923076922</v>
      </c>
      <c r="R22" s="153">
        <v>0.26923076923076922</v>
      </c>
      <c r="S22" s="153">
        <v>0.26923076923076922</v>
      </c>
      <c r="T22" s="153">
        <v>0.26923076923076922</v>
      </c>
      <c r="U22" s="152">
        <v>0.26923076923076922</v>
      </c>
      <c r="V22" s="152">
        <v>0.26923076923076922</v>
      </c>
      <c r="W22" s="152">
        <v>0.26923076923076922</v>
      </c>
      <c r="X22" s="152">
        <v>0.26923076923076922</v>
      </c>
      <c r="Y22" s="153">
        <v>0.34615384615384615</v>
      </c>
      <c r="Z22" s="153">
        <v>0.34615384615384615</v>
      </c>
      <c r="AA22" s="153">
        <v>0.34615384615384615</v>
      </c>
      <c r="AB22" s="153">
        <v>0.34615384615384615</v>
      </c>
      <c r="AC22" s="152">
        <v>0.26923076923076922</v>
      </c>
      <c r="AD22" s="152">
        <v>0.26923076923076922</v>
      </c>
      <c r="AE22" s="152">
        <v>0.26923076923076922</v>
      </c>
      <c r="AF22" s="152">
        <v>0.26923076923076922</v>
      </c>
      <c r="AG22" s="153">
        <v>0.3</v>
      </c>
      <c r="AH22" s="153">
        <v>0.3</v>
      </c>
      <c r="AI22" s="153">
        <v>0.3</v>
      </c>
      <c r="AJ22" s="11">
        <f t="shared" si="0"/>
        <v>31</v>
      </c>
      <c r="AK22" s="120"/>
      <c r="AL22" s="120"/>
      <c r="AM22" s="117" t="s">
        <v>3337</v>
      </c>
    </row>
    <row r="23" spans="1:39" ht="13" customHeight="1">
      <c r="A23" s="117" t="s">
        <v>711</v>
      </c>
      <c r="B23" s="3" t="s">
        <v>712</v>
      </c>
      <c r="C23" s="3">
        <v>13</v>
      </c>
      <c r="D23" s="3" t="s">
        <v>713</v>
      </c>
      <c r="E23" s="167">
        <v>6.25E-2</v>
      </c>
      <c r="F23" s="162">
        <v>6.25E-2</v>
      </c>
      <c r="G23" s="153"/>
      <c r="H23" s="153"/>
      <c r="I23" s="152"/>
      <c r="J23" s="152"/>
      <c r="K23" s="168">
        <v>4.1666666666666664E-2</v>
      </c>
      <c r="L23" s="163">
        <v>4.1666666666666664E-2</v>
      </c>
      <c r="M23" s="167">
        <v>4.1666666666666664E-2</v>
      </c>
      <c r="N23" s="162">
        <v>4.1666666666666664E-2</v>
      </c>
      <c r="O23" s="168">
        <v>0.16666666666666666</v>
      </c>
      <c r="P23" s="163">
        <v>0.16666666666666666</v>
      </c>
      <c r="Q23" s="167">
        <v>0.16666666666666666</v>
      </c>
      <c r="R23" s="162">
        <v>0.16666666666666666</v>
      </c>
      <c r="S23" s="168">
        <v>0.22916666666666666</v>
      </c>
      <c r="T23" s="163">
        <v>0.22916666666666666</v>
      </c>
      <c r="U23" s="170">
        <v>0.1875</v>
      </c>
      <c r="V23" s="162">
        <v>0.1875</v>
      </c>
      <c r="W23" s="163">
        <v>0.14583333333333334</v>
      </c>
      <c r="X23" s="153">
        <v>0.14583333333333334</v>
      </c>
      <c r="Y23" s="152">
        <v>0.1875</v>
      </c>
      <c r="Z23" s="152">
        <v>0.20833333333333334</v>
      </c>
      <c r="AA23" s="153">
        <v>0.22916666666666666</v>
      </c>
      <c r="AB23" s="153">
        <v>0.22916666666666666</v>
      </c>
      <c r="AC23" s="152">
        <v>0.22916666666666666</v>
      </c>
      <c r="AD23" s="152">
        <v>0.25</v>
      </c>
      <c r="AE23" s="153">
        <v>0.29166666666666669</v>
      </c>
      <c r="AF23" s="153">
        <v>0.29166666666666669</v>
      </c>
      <c r="AG23" s="152">
        <v>0.3125</v>
      </c>
      <c r="AH23" s="152">
        <v>0.3125</v>
      </c>
      <c r="AI23" s="153">
        <v>0.29166666666666669</v>
      </c>
      <c r="AJ23" s="11">
        <f t="shared" si="0"/>
        <v>27</v>
      </c>
      <c r="AK23" s="120"/>
      <c r="AL23" s="120"/>
      <c r="AM23" s="117" t="s">
        <v>2439</v>
      </c>
    </row>
    <row r="24" spans="1:39" ht="13" customHeight="1">
      <c r="A24" s="117" t="s">
        <v>850</v>
      </c>
      <c r="B24" s="3" t="s">
        <v>851</v>
      </c>
      <c r="C24" s="3">
        <v>1</v>
      </c>
      <c r="D24" s="3" t="s">
        <v>759</v>
      </c>
      <c r="E24" s="152">
        <v>3.2608695652173912E-2</v>
      </c>
      <c r="F24" s="162">
        <v>3.2608695652173912E-2</v>
      </c>
      <c r="G24" s="153">
        <v>3.2608695652173912E-2</v>
      </c>
      <c r="H24" s="163">
        <v>3.2608695652173912E-2</v>
      </c>
      <c r="I24" s="152">
        <v>2.1739130434782608E-2</v>
      </c>
      <c r="J24" s="162">
        <v>2.1739130434782608E-2</v>
      </c>
      <c r="K24" s="153">
        <v>4.3478260869565216E-2</v>
      </c>
      <c r="L24" s="163">
        <v>4.3478260869565216E-2</v>
      </c>
      <c r="M24" s="152">
        <v>7.6086956521739135E-2</v>
      </c>
      <c r="N24" s="162">
        <v>7.6086956521739135E-2</v>
      </c>
      <c r="O24" s="153">
        <v>7.6086956521739135E-2</v>
      </c>
      <c r="P24" s="163">
        <v>7.6086956521739135E-2</v>
      </c>
      <c r="Q24" s="152">
        <v>0.13043478260869565</v>
      </c>
      <c r="R24" s="162">
        <v>0.13043478260869565</v>
      </c>
      <c r="S24" s="153">
        <v>0.22826086956521738</v>
      </c>
      <c r="T24" s="164">
        <v>0.22826086956521738</v>
      </c>
      <c r="U24" s="152">
        <v>0.29347826086956524</v>
      </c>
      <c r="V24" s="152">
        <v>0.29347826086956524</v>
      </c>
      <c r="W24" s="153">
        <v>0.31521739130434784</v>
      </c>
      <c r="X24" s="153">
        <v>0.31521739130434784</v>
      </c>
      <c r="Y24" s="152">
        <v>0.31521739130434784</v>
      </c>
      <c r="Z24" s="152">
        <v>0.31868131868131866</v>
      </c>
      <c r="AA24" s="153">
        <v>0.30434782608695654</v>
      </c>
      <c r="AB24" s="153">
        <v>0.30434782608695654</v>
      </c>
      <c r="AC24" s="152">
        <v>0.27173913043478259</v>
      </c>
      <c r="AD24" s="152">
        <v>0.28260869565217389</v>
      </c>
      <c r="AE24" s="153">
        <v>0.25</v>
      </c>
      <c r="AF24" s="153">
        <v>0.25</v>
      </c>
      <c r="AG24" s="152">
        <v>0.27173913043478259</v>
      </c>
      <c r="AH24" s="152">
        <v>0.27173913043478259</v>
      </c>
      <c r="AI24" s="153">
        <v>0.28260869565217389</v>
      </c>
      <c r="AJ24" s="11">
        <f t="shared" si="0"/>
        <v>31</v>
      </c>
      <c r="AK24" s="120"/>
      <c r="AL24" s="120"/>
      <c r="AM24" s="117" t="s">
        <v>2430</v>
      </c>
    </row>
    <row r="25" spans="1:39" ht="13" customHeight="1">
      <c r="A25" s="117" t="s">
        <v>841</v>
      </c>
      <c r="B25" s="3" t="s">
        <v>659</v>
      </c>
      <c r="C25" s="3">
        <v>19</v>
      </c>
      <c r="D25" s="3" t="s">
        <v>713</v>
      </c>
      <c r="E25" s="167">
        <v>6.6666666666666666E-2</v>
      </c>
      <c r="F25" s="162">
        <v>6.6666666666666666E-2</v>
      </c>
      <c r="G25" s="153"/>
      <c r="H25" s="153"/>
      <c r="I25" s="152"/>
      <c r="J25" s="152"/>
      <c r="K25" s="168">
        <v>6.9767441860465115E-2</v>
      </c>
      <c r="L25" s="163">
        <v>6.9767441860465115E-2</v>
      </c>
      <c r="M25" s="167">
        <v>4.6511627906976744E-2</v>
      </c>
      <c r="N25" s="162">
        <v>4.6511627906976744E-2</v>
      </c>
      <c r="O25" s="168">
        <v>9.3023255813953487E-2</v>
      </c>
      <c r="P25" s="163">
        <v>9.3023255813953487E-2</v>
      </c>
      <c r="Q25" s="167">
        <v>0.13953488372093023</v>
      </c>
      <c r="R25" s="162">
        <v>0.13953488372093023</v>
      </c>
      <c r="S25" s="168">
        <v>0.18604651162790697</v>
      </c>
      <c r="T25" s="163">
        <v>0.18604651162790697</v>
      </c>
      <c r="U25" s="170">
        <v>0.23255813953488372</v>
      </c>
      <c r="V25" s="162">
        <v>0.23255813953488372</v>
      </c>
      <c r="W25" s="176">
        <v>0.32558139534883723</v>
      </c>
      <c r="X25" s="163">
        <v>0.32558139534883723</v>
      </c>
      <c r="Y25" s="170">
        <v>0.32558139534883723</v>
      </c>
      <c r="Z25" s="162">
        <v>0.32558139534883723</v>
      </c>
      <c r="AA25" s="163">
        <v>0.34883720930232559</v>
      </c>
      <c r="AB25" s="171">
        <v>0.34883720930232559</v>
      </c>
      <c r="AC25" s="152">
        <v>0.34883720930232559</v>
      </c>
      <c r="AD25" s="152">
        <v>0.34883720930232559</v>
      </c>
      <c r="AE25" s="153">
        <v>0.20930232558139536</v>
      </c>
      <c r="AF25" s="153">
        <v>0.20930232558139536</v>
      </c>
      <c r="AG25" s="152">
        <v>0.18604651162790697</v>
      </c>
      <c r="AH25" s="152">
        <v>0.20930232558139536</v>
      </c>
      <c r="AI25" s="153">
        <v>0.27906976744186046</v>
      </c>
      <c r="AJ25" s="11">
        <f t="shared" si="0"/>
        <v>27</v>
      </c>
      <c r="AK25" s="120"/>
      <c r="AL25" s="120"/>
      <c r="AM25" s="117" t="s">
        <v>2444</v>
      </c>
    </row>
    <row r="26" spans="1:39" ht="13" customHeight="1">
      <c r="A26" s="117" t="s">
        <v>718</v>
      </c>
      <c r="B26" s="3" t="s">
        <v>719</v>
      </c>
      <c r="C26" s="3">
        <v>12</v>
      </c>
      <c r="D26" s="3" t="s">
        <v>664</v>
      </c>
      <c r="E26" s="167"/>
      <c r="F26" s="162"/>
      <c r="G26" s="153"/>
      <c r="H26" s="153"/>
      <c r="I26" s="152"/>
      <c r="J26" s="152"/>
      <c r="K26" s="168">
        <v>0</v>
      </c>
      <c r="L26" s="163">
        <v>0</v>
      </c>
      <c r="M26" s="167">
        <v>3.3333333333333333E-2</v>
      </c>
      <c r="N26" s="162">
        <v>3.3333333333333333E-2</v>
      </c>
      <c r="O26" s="168">
        <v>0</v>
      </c>
      <c r="P26" s="163">
        <v>0</v>
      </c>
      <c r="Q26" s="173">
        <v>0.1</v>
      </c>
      <c r="R26" s="162">
        <v>0.1</v>
      </c>
      <c r="S26" s="163">
        <v>0.1</v>
      </c>
      <c r="T26" s="169">
        <v>0.1</v>
      </c>
      <c r="U26" s="170">
        <v>6.6666666666666666E-2</v>
      </c>
      <c r="V26" s="162">
        <v>6.6666666666666666E-2</v>
      </c>
      <c r="W26" s="171">
        <v>0.16666666666666666</v>
      </c>
      <c r="X26" s="163">
        <v>0.21739130434782608</v>
      </c>
      <c r="Y26" s="170">
        <v>0.13043478260869565</v>
      </c>
      <c r="Z26" s="162">
        <v>0.13043478260869565</v>
      </c>
      <c r="AA26" s="163">
        <v>4.3478260869565216E-2</v>
      </c>
      <c r="AB26" s="171">
        <v>4.3478260869565216E-2</v>
      </c>
      <c r="AC26" s="170">
        <v>8.6956521739130432E-2</v>
      </c>
      <c r="AD26" s="162">
        <v>8.6956521739130432E-2</v>
      </c>
      <c r="AE26" s="153">
        <v>0.22222222222222221</v>
      </c>
      <c r="AF26" s="163">
        <v>0.22222222222222221</v>
      </c>
      <c r="AG26" s="152">
        <v>0.30555555555555558</v>
      </c>
      <c r="AH26" s="162">
        <v>0.30555555555555558</v>
      </c>
      <c r="AI26" s="153">
        <v>0.27777777777777779</v>
      </c>
      <c r="AJ26" s="11">
        <f t="shared" si="0"/>
        <v>25</v>
      </c>
      <c r="AK26" s="120"/>
      <c r="AL26" s="120"/>
      <c r="AM26" s="117" t="s">
        <v>2517</v>
      </c>
    </row>
    <row r="27" spans="1:39" ht="13" customHeight="1">
      <c r="A27" s="117" t="s">
        <v>620</v>
      </c>
      <c r="B27" s="3" t="s">
        <v>621</v>
      </c>
      <c r="C27" s="3">
        <v>15</v>
      </c>
      <c r="D27" s="3" t="s">
        <v>541</v>
      </c>
      <c r="E27" s="167">
        <v>0.08</v>
      </c>
      <c r="F27" s="162">
        <v>0.08</v>
      </c>
      <c r="G27" s="162">
        <v>0.08</v>
      </c>
      <c r="H27" s="162">
        <v>0.08</v>
      </c>
      <c r="I27" s="163"/>
      <c r="J27" s="163"/>
      <c r="K27" s="163"/>
      <c r="L27" s="172"/>
      <c r="M27" s="167">
        <v>0.12</v>
      </c>
      <c r="N27" s="162">
        <v>0.12</v>
      </c>
      <c r="O27" s="162">
        <v>0.12</v>
      </c>
      <c r="P27" s="162">
        <v>0.12</v>
      </c>
      <c r="Q27" s="163">
        <v>0.31428571428571428</v>
      </c>
      <c r="R27" s="163">
        <v>0.31428571428571428</v>
      </c>
      <c r="S27" s="153">
        <v>0.31428571428571428</v>
      </c>
      <c r="T27" s="153">
        <v>0.31428571428571428</v>
      </c>
      <c r="U27" s="152">
        <v>0.31428571428571428</v>
      </c>
      <c r="V27" s="152">
        <v>0.31428571428571428</v>
      </c>
      <c r="W27" s="152">
        <v>0.2857142857142857</v>
      </c>
      <c r="X27" s="152">
        <v>0.2857142857142857</v>
      </c>
      <c r="Y27" s="153">
        <v>0.2857142857142857</v>
      </c>
      <c r="Z27" s="153">
        <v>0.2857142857142857</v>
      </c>
      <c r="AA27" s="153">
        <v>0.2857142857142857</v>
      </c>
      <c r="AB27" s="153">
        <v>0.2857142857142857</v>
      </c>
      <c r="AC27" s="152">
        <v>0.31428571428571428</v>
      </c>
      <c r="AD27" s="152">
        <v>0.31428571428571428</v>
      </c>
      <c r="AE27" s="152">
        <v>0.31428571428571428</v>
      </c>
      <c r="AF27" s="152">
        <v>0.2857142857142857</v>
      </c>
      <c r="AG27" s="153">
        <v>0.25714285714285712</v>
      </c>
      <c r="AH27" s="153">
        <v>0.22857142857142856</v>
      </c>
      <c r="AI27" s="153">
        <v>0.25714285714285712</v>
      </c>
      <c r="AJ27" s="11">
        <f t="shared" si="0"/>
        <v>27</v>
      </c>
      <c r="AK27" s="120"/>
      <c r="AL27" s="120"/>
      <c r="AM27" s="117" t="s">
        <v>2441</v>
      </c>
    </row>
    <row r="28" spans="1:39" ht="13" customHeight="1">
      <c r="A28" s="117" t="s">
        <v>928</v>
      </c>
      <c r="B28" s="3" t="s">
        <v>929</v>
      </c>
      <c r="C28" s="3">
        <v>18</v>
      </c>
      <c r="D28" s="3" t="s">
        <v>713</v>
      </c>
      <c r="E28" s="152">
        <v>0.13333333333333333</v>
      </c>
      <c r="F28" s="152">
        <v>0.13333333333333333</v>
      </c>
      <c r="G28" s="152">
        <v>6.6666666666666666E-2</v>
      </c>
      <c r="H28" s="152">
        <v>6.6666666666666666E-2</v>
      </c>
      <c r="I28" s="153">
        <v>0</v>
      </c>
      <c r="J28" s="153">
        <v>0</v>
      </c>
      <c r="K28" s="153">
        <v>0</v>
      </c>
      <c r="L28" s="153">
        <v>0</v>
      </c>
      <c r="M28" s="152">
        <v>0.16666666666666666</v>
      </c>
      <c r="N28" s="152">
        <v>0.16666666666666666</v>
      </c>
      <c r="O28" s="152">
        <v>0.16666666666666666</v>
      </c>
      <c r="P28" s="152">
        <v>0.16666666666666666</v>
      </c>
      <c r="Q28" s="153">
        <v>0.13333333333333333</v>
      </c>
      <c r="R28" s="153">
        <v>0.13333333333333333</v>
      </c>
      <c r="S28" s="153">
        <v>0.13333333333333333</v>
      </c>
      <c r="T28" s="153">
        <v>0.13333333333333333</v>
      </c>
      <c r="U28" s="152">
        <v>0.1111111111111111</v>
      </c>
      <c r="V28" s="152">
        <v>0.1111111111111111</v>
      </c>
      <c r="W28" s="152">
        <v>0.1111111111111111</v>
      </c>
      <c r="X28" s="152">
        <v>0.13333333333333333</v>
      </c>
      <c r="Y28" s="153">
        <v>0.14705882352941177</v>
      </c>
      <c r="Z28" s="153">
        <v>0.14705882352941177</v>
      </c>
      <c r="AA28" s="153">
        <v>0.11764705882352941</v>
      </c>
      <c r="AB28" s="153">
        <v>0.11764705882352941</v>
      </c>
      <c r="AC28" s="152">
        <v>0.11764705882352941</v>
      </c>
      <c r="AD28" s="152">
        <v>0.14705882352941177</v>
      </c>
      <c r="AE28" s="152">
        <v>0.14705882352941177</v>
      </c>
      <c r="AF28" s="152">
        <v>0.14705882352941177</v>
      </c>
      <c r="AG28" s="153">
        <v>0.20588235294117646</v>
      </c>
      <c r="AH28" s="153">
        <v>0.23529411764705882</v>
      </c>
      <c r="AI28" s="153">
        <v>0.23529411764705882</v>
      </c>
      <c r="AJ28" s="11">
        <f t="shared" si="0"/>
        <v>31</v>
      </c>
      <c r="AK28" s="120"/>
      <c r="AL28" s="120"/>
      <c r="AM28" s="117" t="s">
        <v>2443</v>
      </c>
    </row>
    <row r="29" spans="1:39" ht="13" customHeight="1">
      <c r="A29" s="117" t="s">
        <v>630</v>
      </c>
      <c r="B29" s="3" t="s">
        <v>631</v>
      </c>
      <c r="C29" s="3">
        <v>8</v>
      </c>
      <c r="D29" s="3" t="s">
        <v>759</v>
      </c>
      <c r="E29" s="167">
        <v>3.5714285714285712E-2</v>
      </c>
      <c r="F29" s="162">
        <v>3.5714285714285712E-2</v>
      </c>
      <c r="G29" s="162">
        <v>3.5714285714285712E-2</v>
      </c>
      <c r="H29" s="162">
        <v>3.5714285714285712E-2</v>
      </c>
      <c r="I29" s="163"/>
      <c r="J29" s="163"/>
      <c r="K29" s="163"/>
      <c r="L29" s="172"/>
      <c r="M29" s="167">
        <v>0</v>
      </c>
      <c r="N29" s="162">
        <v>0</v>
      </c>
      <c r="O29" s="162">
        <v>0</v>
      </c>
      <c r="P29" s="162">
        <v>0</v>
      </c>
      <c r="Q29" s="172">
        <v>7.1428571428571425E-2</v>
      </c>
      <c r="R29" s="163">
        <v>7.1428571428571425E-2</v>
      </c>
      <c r="S29" s="163">
        <v>7.1428571428571425E-2</v>
      </c>
      <c r="T29" s="163">
        <v>7.1428571428571425E-2</v>
      </c>
      <c r="U29" s="162">
        <v>0.14285714285714285</v>
      </c>
      <c r="V29" s="162">
        <v>0.14285714285714285</v>
      </c>
      <c r="W29" s="152">
        <v>0.14285714285714285</v>
      </c>
      <c r="X29" s="152">
        <v>0.14285714285714285</v>
      </c>
      <c r="Y29" s="153">
        <v>0.14285714285714285</v>
      </c>
      <c r="Z29" s="153">
        <v>0.14285714285714285</v>
      </c>
      <c r="AA29" s="153">
        <v>0.14285714285714285</v>
      </c>
      <c r="AB29" s="153">
        <v>0.14285714285714285</v>
      </c>
      <c r="AC29" s="152">
        <v>0.17857142857142858</v>
      </c>
      <c r="AD29" s="152">
        <v>0.17857142857142858</v>
      </c>
      <c r="AE29" s="152">
        <v>0.17857142857142858</v>
      </c>
      <c r="AF29" s="152">
        <v>0.17857142857142858</v>
      </c>
      <c r="AG29" s="153">
        <v>0.23529411764705882</v>
      </c>
      <c r="AH29" s="153">
        <v>0.23529411764705882</v>
      </c>
      <c r="AI29" s="153">
        <v>0.23529411764705882</v>
      </c>
      <c r="AJ29" s="11">
        <f t="shared" si="0"/>
        <v>27</v>
      </c>
      <c r="AK29" s="120"/>
      <c r="AL29" s="120"/>
      <c r="AM29" s="117" t="s">
        <v>2436</v>
      </c>
    </row>
    <row r="30" spans="1:39" ht="13" customHeight="1">
      <c r="A30" s="117" t="s">
        <v>926</v>
      </c>
      <c r="B30" s="3" t="s">
        <v>927</v>
      </c>
      <c r="C30" s="3">
        <v>17</v>
      </c>
      <c r="D30" s="3" t="s">
        <v>664</v>
      </c>
      <c r="E30" s="165">
        <v>0.15151515151515152</v>
      </c>
      <c r="F30" s="162">
        <v>0.15151515151515152</v>
      </c>
      <c r="G30" s="166">
        <v>0.12878787878787878</v>
      </c>
      <c r="H30" s="163">
        <v>0.12878787878787878</v>
      </c>
      <c r="I30" s="165">
        <v>6.3492063492063489E-2</v>
      </c>
      <c r="J30" s="162">
        <v>6.3492063492063489E-2</v>
      </c>
      <c r="K30" s="166">
        <v>0.1</v>
      </c>
      <c r="L30" s="163">
        <v>0.1</v>
      </c>
      <c r="M30" s="165">
        <v>0.11666666666666667</v>
      </c>
      <c r="N30" s="162">
        <v>0.11666666666666667</v>
      </c>
      <c r="O30" s="166">
        <v>0.16666666666666666</v>
      </c>
      <c r="P30" s="163">
        <v>0.16666666666666666</v>
      </c>
      <c r="Q30" s="165">
        <v>0.13333333333333333</v>
      </c>
      <c r="R30" s="162">
        <v>0.13333333333333333</v>
      </c>
      <c r="S30" s="166">
        <v>0.1</v>
      </c>
      <c r="T30" s="164">
        <v>0.1</v>
      </c>
      <c r="U30" s="165">
        <v>0.16666666666666666</v>
      </c>
      <c r="V30" s="162">
        <v>0.16666666666666666</v>
      </c>
      <c r="W30" s="166">
        <v>0.16666666666666666</v>
      </c>
      <c r="X30" s="163">
        <v>0.16666666666666666</v>
      </c>
      <c r="Y30" s="165">
        <v>0.18333333333333332</v>
      </c>
      <c r="Z30" s="162">
        <v>0.18333333333333332</v>
      </c>
      <c r="AA30" s="166">
        <v>0.26666666666666666</v>
      </c>
      <c r="AB30" s="171">
        <v>0.26666666666666666</v>
      </c>
      <c r="AC30" s="152">
        <v>0.26666666666666666</v>
      </c>
      <c r="AD30" s="162">
        <v>0.26666666666666666</v>
      </c>
      <c r="AE30" s="153">
        <v>0.2</v>
      </c>
      <c r="AF30" s="163">
        <v>0.2</v>
      </c>
      <c r="AG30" s="152">
        <v>0.18333333333333332</v>
      </c>
      <c r="AH30" s="152">
        <v>0.2</v>
      </c>
      <c r="AI30" s="154">
        <v>0.23333333333333334</v>
      </c>
      <c r="AJ30" s="11">
        <f t="shared" si="0"/>
        <v>31</v>
      </c>
      <c r="AK30" s="120"/>
      <c r="AL30" s="120"/>
      <c r="AM30" s="117" t="s">
        <v>2442</v>
      </c>
    </row>
    <row r="31" spans="1:39" ht="13" customHeight="1">
      <c r="A31" s="117" t="s">
        <v>725</v>
      </c>
      <c r="B31" s="3" t="s">
        <v>726</v>
      </c>
      <c r="C31" s="3">
        <v>24</v>
      </c>
      <c r="D31" s="3" t="s">
        <v>664</v>
      </c>
      <c r="E31" s="167">
        <v>0.05</v>
      </c>
      <c r="F31" s="162">
        <v>0.05</v>
      </c>
      <c r="G31" s="153"/>
      <c r="H31" s="153"/>
      <c r="I31" s="152"/>
      <c r="J31" s="152"/>
      <c r="K31" s="168">
        <v>7.4999999999999997E-2</v>
      </c>
      <c r="L31" s="249" t="s">
        <v>2412</v>
      </c>
      <c r="M31" s="167">
        <v>2.5000000000000001E-2</v>
      </c>
      <c r="N31" s="162">
        <v>2.5000000000000001E-2</v>
      </c>
      <c r="O31" s="162">
        <v>2.5000000000000001E-2</v>
      </c>
      <c r="P31" s="162">
        <v>2.5000000000000001E-2</v>
      </c>
      <c r="Q31" s="172">
        <v>0.22500000000000001</v>
      </c>
      <c r="R31" s="163">
        <v>0.22500000000000001</v>
      </c>
      <c r="S31" s="163">
        <v>0.22500000000000001</v>
      </c>
      <c r="T31" s="163">
        <v>0.22500000000000001</v>
      </c>
      <c r="U31" s="170">
        <v>0.25</v>
      </c>
      <c r="V31" s="162">
        <v>0.25</v>
      </c>
      <c r="W31" s="162">
        <v>0.25</v>
      </c>
      <c r="X31" s="162">
        <v>0.25</v>
      </c>
      <c r="Y31" s="153">
        <v>0.15</v>
      </c>
      <c r="Z31" s="153">
        <v>0.15</v>
      </c>
      <c r="AA31" s="153">
        <v>0.15</v>
      </c>
      <c r="AB31" s="153">
        <v>0.15</v>
      </c>
      <c r="AC31" s="152">
        <v>0.24489795918367346</v>
      </c>
      <c r="AD31" s="152">
        <v>0.2857142857142857</v>
      </c>
      <c r="AE31" s="152">
        <v>0.26530612244897961</v>
      </c>
      <c r="AF31" s="152">
        <v>0.26530612244897961</v>
      </c>
      <c r="AG31" s="153">
        <v>0.22448979591836735</v>
      </c>
      <c r="AH31" s="153">
        <v>0.24489795918367346</v>
      </c>
      <c r="AI31" s="153">
        <v>0.22448979591836735</v>
      </c>
      <c r="AJ31" s="11">
        <f t="shared" si="0"/>
        <v>26</v>
      </c>
      <c r="AK31" s="120"/>
      <c r="AL31" s="120"/>
      <c r="AM31" s="117" t="s">
        <v>2449</v>
      </c>
    </row>
    <row r="32" spans="1:39" ht="13" customHeight="1">
      <c r="A32" s="117" t="s">
        <v>660</v>
      </c>
      <c r="B32" s="3" t="s">
        <v>661</v>
      </c>
      <c r="C32" s="3">
        <v>20</v>
      </c>
      <c r="D32" s="3" t="s">
        <v>541</v>
      </c>
      <c r="E32" s="152">
        <v>0</v>
      </c>
      <c r="F32" s="152">
        <v>0</v>
      </c>
      <c r="G32" s="153"/>
      <c r="H32" s="153"/>
      <c r="I32" s="152"/>
      <c r="J32" s="152"/>
      <c r="K32" s="153">
        <v>0.125</v>
      </c>
      <c r="L32" s="153">
        <v>0.125</v>
      </c>
      <c r="M32" s="152">
        <v>0.125</v>
      </c>
      <c r="N32" s="152">
        <v>0.125</v>
      </c>
      <c r="O32" s="153">
        <v>0.20833333333333334</v>
      </c>
      <c r="P32" s="153">
        <v>0.20833333333333334</v>
      </c>
      <c r="Q32" s="167">
        <v>8.3333333333333329E-2</v>
      </c>
      <c r="R32" s="162">
        <v>8.3333333333333329E-2</v>
      </c>
      <c r="S32" s="163">
        <v>0.20833333333333334</v>
      </c>
      <c r="T32" s="169">
        <v>0.20833333333333334</v>
      </c>
      <c r="U32" s="152">
        <v>4.1666666666666664E-2</v>
      </c>
      <c r="V32" s="152">
        <v>4.1666666666666664E-2</v>
      </c>
      <c r="W32" s="152">
        <v>4.1666666666666664E-2</v>
      </c>
      <c r="X32" s="152">
        <v>4.1666666666666664E-2</v>
      </c>
      <c r="Y32" s="154">
        <v>0.125</v>
      </c>
      <c r="Z32" s="154">
        <v>0.125</v>
      </c>
      <c r="AA32" s="154">
        <v>0.16666666666666666</v>
      </c>
      <c r="AB32" s="154">
        <v>0.16666666666666666</v>
      </c>
      <c r="AC32" s="152">
        <v>0.20833333333333334</v>
      </c>
      <c r="AD32" s="152">
        <v>0.20833333333333334</v>
      </c>
      <c r="AE32" s="152">
        <v>0.20833333333333334</v>
      </c>
      <c r="AF32" s="152">
        <v>0.16666666666666666</v>
      </c>
      <c r="AG32" s="154">
        <v>0.16666666666666666</v>
      </c>
      <c r="AH32" s="154">
        <v>0.16666666666666666</v>
      </c>
      <c r="AI32" s="154">
        <v>0.16666666666666666</v>
      </c>
      <c r="AJ32" s="11">
        <f t="shared" si="0"/>
        <v>27</v>
      </c>
      <c r="AK32" s="120"/>
      <c r="AL32" s="120"/>
      <c r="AM32" s="117" t="s">
        <v>2445</v>
      </c>
    </row>
    <row r="33" spans="1:39" ht="13" customHeight="1">
      <c r="A33" s="117" t="s">
        <v>2413</v>
      </c>
      <c r="E33" s="140">
        <v>8.2580089342849258E-2</v>
      </c>
      <c r="F33" s="140">
        <v>8.2580089342849258E-2</v>
      </c>
      <c r="G33" s="140">
        <v>8.4933929421021806E-2</v>
      </c>
      <c r="H33" s="140">
        <v>8.1418304421021812E-2</v>
      </c>
      <c r="I33" s="140">
        <v>6.1466927295731645E-2</v>
      </c>
      <c r="J33" s="140">
        <v>6.1466927295731645E-2</v>
      </c>
      <c r="K33" s="140">
        <v>8.1098527323971478E-2</v>
      </c>
      <c r="L33" s="140">
        <v>8.6403453690170065E-2</v>
      </c>
      <c r="M33" s="140">
        <v>9.3902313527839898E-2</v>
      </c>
      <c r="N33" s="140">
        <v>9.2600230194506569E-2</v>
      </c>
      <c r="O33" s="140">
        <v>0.12460042355188407</v>
      </c>
      <c r="P33" s="140">
        <v>0.12595911920405797</v>
      </c>
      <c r="Q33" s="140">
        <v>0.18945009986083106</v>
      </c>
      <c r="R33" s="140">
        <v>0.18945009986083106</v>
      </c>
      <c r="S33" s="140">
        <v>0.21502629506151946</v>
      </c>
      <c r="T33" s="140">
        <v>0.21792484578615715</v>
      </c>
      <c r="U33" s="140">
        <v>0.23040830790590597</v>
      </c>
      <c r="V33" s="140">
        <v>0.23774034034652963</v>
      </c>
      <c r="W33" s="140">
        <v>0.26269466755983711</v>
      </c>
      <c r="X33" s="140">
        <v>0.26632935815104947</v>
      </c>
      <c r="Y33" s="140">
        <v>0.27143180386910964</v>
      </c>
      <c r="Z33" s="140">
        <v>0.27891230901527053</v>
      </c>
      <c r="AA33" s="140">
        <v>0.28767139602945224</v>
      </c>
      <c r="AB33" s="140">
        <v>0.28729764187662832</v>
      </c>
      <c r="AC33" s="140">
        <v>0.28953966089068434</v>
      </c>
      <c r="AD33" s="140">
        <v>0.29598668625880259</v>
      </c>
      <c r="AE33" s="140">
        <v>0.28727769833382316</v>
      </c>
      <c r="AF33" s="140">
        <v>0.28479753960366444</v>
      </c>
      <c r="AG33" s="140">
        <v>0.30215599821006739</v>
      </c>
      <c r="AH33" s="140">
        <v>0.30477725281234647</v>
      </c>
      <c r="AI33" s="140">
        <v>0.31190891413776811</v>
      </c>
      <c r="AJ33" s="141" t="s">
        <v>2414</v>
      </c>
      <c r="AK33" s="142" t="s">
        <v>2415</v>
      </c>
      <c r="AL33" s="142" t="s">
        <v>2416</v>
      </c>
      <c r="AM33" s="117" t="s">
        <v>2450</v>
      </c>
    </row>
    <row r="34" spans="1:39" ht="13" customHeight="1">
      <c r="A34" s="117" t="s">
        <v>2417</v>
      </c>
      <c r="E34" s="125">
        <v>23</v>
      </c>
      <c r="F34" s="125">
        <v>23</v>
      </c>
      <c r="G34" s="125">
        <v>16</v>
      </c>
      <c r="H34" s="125">
        <v>16</v>
      </c>
      <c r="I34" s="125">
        <v>12</v>
      </c>
      <c r="J34" s="125">
        <v>12</v>
      </c>
      <c r="K34" s="125">
        <v>21</v>
      </c>
      <c r="L34" s="125">
        <v>21</v>
      </c>
      <c r="M34" s="125">
        <v>24</v>
      </c>
      <c r="N34" s="125">
        <v>24</v>
      </c>
      <c r="O34" s="125">
        <v>24</v>
      </c>
      <c r="P34" s="125">
        <v>24</v>
      </c>
      <c r="Q34" s="125">
        <v>24</v>
      </c>
      <c r="R34" s="125">
        <v>24</v>
      </c>
      <c r="S34" s="125">
        <v>23</v>
      </c>
      <c r="T34" s="125">
        <v>23</v>
      </c>
      <c r="U34" s="125">
        <v>24</v>
      </c>
      <c r="V34" s="125">
        <v>24</v>
      </c>
      <c r="W34" s="125">
        <v>24</v>
      </c>
      <c r="X34" s="125">
        <v>24</v>
      </c>
      <c r="Y34" s="125">
        <v>24</v>
      </c>
      <c r="Z34" s="125">
        <v>24</v>
      </c>
      <c r="AA34" s="125">
        <v>24</v>
      </c>
      <c r="AB34" s="125">
        <v>24</v>
      </c>
      <c r="AC34" s="125">
        <v>24</v>
      </c>
      <c r="AD34" s="125">
        <v>24</v>
      </c>
      <c r="AE34" s="125">
        <v>24</v>
      </c>
      <c r="AF34" s="125">
        <v>24</v>
      </c>
      <c r="AG34" s="125">
        <v>24</v>
      </c>
      <c r="AH34" s="125">
        <v>24</v>
      </c>
      <c r="AI34" s="125">
        <v>24</v>
      </c>
      <c r="AJ34" s="11">
        <f t="shared" ref="AJ34:AJ39" si="1">SUM(E34:AG34)</f>
        <v>646</v>
      </c>
      <c r="AK34" s="120">
        <v>744</v>
      </c>
      <c r="AL34" s="144">
        <v>0.93279569892473113</v>
      </c>
      <c r="AM34" s="117" t="s">
        <v>2451</v>
      </c>
    </row>
    <row r="35" spans="1:39" s="6" customFormat="1" ht="13" customHeight="1">
      <c r="A35" s="3" t="s">
        <v>3629</v>
      </c>
      <c r="B35" s="3"/>
      <c r="C35" s="3"/>
      <c r="D35" s="3"/>
      <c r="E35" s="6">
        <v>1</v>
      </c>
      <c r="F35" s="6">
        <v>1</v>
      </c>
      <c r="G35" s="6">
        <v>8</v>
      </c>
      <c r="H35" s="6">
        <v>8</v>
      </c>
      <c r="I35" s="6">
        <v>12</v>
      </c>
      <c r="J35" s="6">
        <v>12</v>
      </c>
      <c r="K35" s="6">
        <v>3</v>
      </c>
      <c r="L35" s="6">
        <v>3</v>
      </c>
      <c r="M35" s="6">
        <v>0</v>
      </c>
      <c r="N35" s="6">
        <v>0</v>
      </c>
      <c r="O35" s="6">
        <v>0</v>
      </c>
      <c r="P35" s="6">
        <v>0</v>
      </c>
      <c r="Q35" s="6">
        <v>0</v>
      </c>
      <c r="R35" s="6">
        <v>0</v>
      </c>
      <c r="S35" s="6">
        <v>1</v>
      </c>
      <c r="T35" s="6">
        <v>1</v>
      </c>
      <c r="U35" s="6">
        <v>0</v>
      </c>
      <c r="V35" s="6">
        <v>0</v>
      </c>
      <c r="W35" s="6">
        <v>0</v>
      </c>
      <c r="X35" s="6">
        <v>0</v>
      </c>
      <c r="Y35" s="6">
        <v>0</v>
      </c>
      <c r="Z35" s="6">
        <v>0</v>
      </c>
      <c r="AA35" s="6">
        <v>0</v>
      </c>
      <c r="AB35" s="6">
        <v>0</v>
      </c>
      <c r="AC35" s="6">
        <v>0</v>
      </c>
      <c r="AD35" s="6">
        <v>0</v>
      </c>
      <c r="AE35" s="6">
        <v>0</v>
      </c>
      <c r="AF35" s="6">
        <v>0</v>
      </c>
      <c r="AG35" s="6">
        <v>0</v>
      </c>
      <c r="AH35" s="6">
        <v>0</v>
      </c>
      <c r="AI35" s="6">
        <v>0</v>
      </c>
      <c r="AJ35" s="11">
        <f t="shared" si="1"/>
        <v>50</v>
      </c>
    </row>
    <row r="36" spans="1:39" s="241" customFormat="1" ht="13" customHeight="1">
      <c r="A36" s="237" t="s">
        <v>3626</v>
      </c>
      <c r="B36" s="238"/>
      <c r="C36" s="238"/>
      <c r="D36" s="238"/>
      <c r="E36" s="149">
        <v>12</v>
      </c>
      <c r="F36" s="149">
        <v>8</v>
      </c>
      <c r="G36" s="149">
        <v>8</v>
      </c>
      <c r="H36" s="149">
        <v>7</v>
      </c>
      <c r="I36" s="149">
        <v>9</v>
      </c>
      <c r="J36" s="149">
        <v>7</v>
      </c>
      <c r="K36" s="149">
        <v>11</v>
      </c>
      <c r="L36" s="149">
        <v>10</v>
      </c>
      <c r="M36" s="149">
        <v>12</v>
      </c>
      <c r="N36" s="149">
        <v>9</v>
      </c>
      <c r="O36" s="149">
        <v>13</v>
      </c>
      <c r="P36" s="149">
        <v>10</v>
      </c>
      <c r="Q36" s="149">
        <v>11</v>
      </c>
      <c r="R36" s="149">
        <v>8</v>
      </c>
      <c r="S36" s="149">
        <v>12</v>
      </c>
      <c r="T36" s="149">
        <v>10</v>
      </c>
      <c r="U36" s="149">
        <v>15</v>
      </c>
      <c r="V36" s="149">
        <v>14</v>
      </c>
      <c r="W36" s="149">
        <v>14</v>
      </c>
      <c r="X36" s="149">
        <v>15</v>
      </c>
      <c r="Y36" s="149">
        <v>20</v>
      </c>
      <c r="Z36" s="149">
        <v>18</v>
      </c>
      <c r="AA36" s="149">
        <v>18</v>
      </c>
      <c r="AB36" s="149">
        <v>18</v>
      </c>
      <c r="AC36" s="149">
        <v>21</v>
      </c>
      <c r="AD36" s="149">
        <v>19</v>
      </c>
      <c r="AE36" s="149">
        <v>22</v>
      </c>
      <c r="AF36" s="149">
        <v>19</v>
      </c>
      <c r="AG36" s="149">
        <v>23</v>
      </c>
      <c r="AH36" s="149">
        <v>22</v>
      </c>
      <c r="AI36" s="149">
        <v>24</v>
      </c>
      <c r="AJ36" s="11">
        <f t="shared" si="1"/>
        <v>393</v>
      </c>
      <c r="AK36" s="239"/>
      <c r="AL36" s="240"/>
      <c r="AM36" s="117" t="s">
        <v>2452</v>
      </c>
    </row>
    <row r="37" spans="1:39" s="246" customFormat="1" ht="13" customHeight="1">
      <c r="A37" s="242" t="s">
        <v>3627</v>
      </c>
      <c r="B37" s="243"/>
      <c r="C37" s="243"/>
      <c r="D37" s="243"/>
      <c r="E37" s="146">
        <v>11</v>
      </c>
      <c r="F37" s="146">
        <v>1</v>
      </c>
      <c r="G37" s="146">
        <v>3</v>
      </c>
      <c r="H37" s="146">
        <v>1</v>
      </c>
      <c r="I37" s="146">
        <v>3</v>
      </c>
      <c r="J37" s="146">
        <v>1</v>
      </c>
      <c r="K37" s="146">
        <v>9</v>
      </c>
      <c r="L37" s="146">
        <v>1</v>
      </c>
      <c r="M37" s="146">
        <v>11</v>
      </c>
      <c r="N37" s="146">
        <v>1</v>
      </c>
      <c r="O37" s="146">
        <v>7</v>
      </c>
      <c r="P37" s="146">
        <v>1</v>
      </c>
      <c r="Q37" s="146">
        <v>12</v>
      </c>
      <c r="R37" s="146">
        <v>1</v>
      </c>
      <c r="S37" s="146">
        <v>4</v>
      </c>
      <c r="T37" s="146">
        <v>4</v>
      </c>
      <c r="U37" s="146">
        <v>8</v>
      </c>
      <c r="V37" s="146">
        <v>1</v>
      </c>
      <c r="W37" s="146">
        <v>7</v>
      </c>
      <c r="X37" s="146">
        <v>1</v>
      </c>
      <c r="Y37" s="146">
        <v>4</v>
      </c>
      <c r="Z37" s="146">
        <v>0</v>
      </c>
      <c r="AA37" s="146">
        <v>1</v>
      </c>
      <c r="AB37" s="146">
        <v>6</v>
      </c>
      <c r="AC37" s="146">
        <v>3</v>
      </c>
      <c r="AD37" s="146">
        <v>1</v>
      </c>
      <c r="AE37" s="146">
        <v>0</v>
      </c>
      <c r="AF37" s="146">
        <v>1</v>
      </c>
      <c r="AG37" s="146">
        <v>0</v>
      </c>
      <c r="AH37" s="146">
        <v>0</v>
      </c>
      <c r="AI37" s="146">
        <v>0</v>
      </c>
      <c r="AJ37" s="11">
        <f t="shared" si="1"/>
        <v>104</v>
      </c>
      <c r="AK37" s="244"/>
      <c r="AL37" s="245"/>
      <c r="AM37" s="117" t="s">
        <v>2453</v>
      </c>
    </row>
    <row r="38" spans="1:39" s="247" customFormat="1" ht="13" customHeight="1">
      <c r="A38" s="236" t="s">
        <v>3628</v>
      </c>
      <c r="B38" s="236"/>
      <c r="C38" s="236"/>
      <c r="D38" s="236"/>
      <c r="E38" s="247">
        <v>0</v>
      </c>
      <c r="F38" s="247">
        <v>14</v>
      </c>
      <c r="G38" s="247">
        <v>5</v>
      </c>
      <c r="H38" s="247">
        <v>8</v>
      </c>
      <c r="I38" s="247">
        <v>0</v>
      </c>
      <c r="J38" s="247">
        <v>4</v>
      </c>
      <c r="K38" s="247">
        <v>1</v>
      </c>
      <c r="L38" s="247">
        <v>10</v>
      </c>
      <c r="M38" s="247">
        <v>1</v>
      </c>
      <c r="N38" s="247">
        <v>14</v>
      </c>
      <c r="O38" s="247">
        <v>4</v>
      </c>
      <c r="P38" s="247">
        <v>13</v>
      </c>
      <c r="Q38" s="247">
        <v>1</v>
      </c>
      <c r="R38" s="247">
        <v>15</v>
      </c>
      <c r="S38" s="247">
        <v>7</v>
      </c>
      <c r="T38" s="247">
        <v>9</v>
      </c>
      <c r="U38" s="247">
        <v>1</v>
      </c>
      <c r="V38" s="247">
        <v>9</v>
      </c>
      <c r="W38" s="247">
        <v>3</v>
      </c>
      <c r="X38" s="247">
        <v>8</v>
      </c>
      <c r="Y38" s="247">
        <v>0</v>
      </c>
      <c r="Z38" s="247">
        <v>6</v>
      </c>
      <c r="AA38" s="247">
        <v>5</v>
      </c>
      <c r="AB38" s="247">
        <v>0</v>
      </c>
      <c r="AC38" s="247">
        <v>0</v>
      </c>
      <c r="AD38" s="247">
        <v>4</v>
      </c>
      <c r="AE38" s="247">
        <v>2</v>
      </c>
      <c r="AF38" s="247">
        <v>4</v>
      </c>
      <c r="AG38" s="247">
        <v>1</v>
      </c>
      <c r="AH38" s="247">
        <v>2</v>
      </c>
      <c r="AI38" s="247">
        <v>0</v>
      </c>
      <c r="AJ38" s="11">
        <f t="shared" si="1"/>
        <v>149</v>
      </c>
    </row>
    <row r="39" spans="1:39" s="6" customFormat="1" ht="11">
      <c r="A39" s="3" t="s">
        <v>3631</v>
      </c>
      <c r="B39" s="3"/>
      <c r="C39" s="3"/>
      <c r="D39" s="3"/>
      <c r="E39" s="6">
        <f>SUM(E35:E38)</f>
        <v>24</v>
      </c>
      <c r="F39" s="6">
        <f t="shared" ref="F39:AI39" si="2">SUM(F35:F38)</f>
        <v>24</v>
      </c>
      <c r="G39" s="6">
        <f t="shared" si="2"/>
        <v>24</v>
      </c>
      <c r="H39" s="6">
        <f t="shared" si="2"/>
        <v>24</v>
      </c>
      <c r="I39" s="6">
        <f t="shared" si="2"/>
        <v>24</v>
      </c>
      <c r="J39" s="6">
        <f t="shared" si="2"/>
        <v>24</v>
      </c>
      <c r="K39" s="6">
        <f t="shared" si="2"/>
        <v>24</v>
      </c>
      <c r="L39" s="6">
        <f t="shared" si="2"/>
        <v>24</v>
      </c>
      <c r="M39" s="6">
        <f t="shared" si="2"/>
        <v>24</v>
      </c>
      <c r="N39" s="6">
        <f t="shared" si="2"/>
        <v>24</v>
      </c>
      <c r="O39" s="6">
        <f t="shared" si="2"/>
        <v>24</v>
      </c>
      <c r="P39" s="6">
        <f t="shared" si="2"/>
        <v>24</v>
      </c>
      <c r="Q39" s="6">
        <f t="shared" si="2"/>
        <v>24</v>
      </c>
      <c r="R39" s="6">
        <f t="shared" si="2"/>
        <v>24</v>
      </c>
      <c r="S39" s="6">
        <f t="shared" si="2"/>
        <v>24</v>
      </c>
      <c r="T39" s="6">
        <f t="shared" si="2"/>
        <v>24</v>
      </c>
      <c r="U39" s="6">
        <f t="shared" si="2"/>
        <v>24</v>
      </c>
      <c r="V39" s="6">
        <f t="shared" si="2"/>
        <v>24</v>
      </c>
      <c r="W39" s="6">
        <f t="shared" si="2"/>
        <v>24</v>
      </c>
      <c r="X39" s="6">
        <f t="shared" si="2"/>
        <v>24</v>
      </c>
      <c r="Y39" s="6">
        <f t="shared" si="2"/>
        <v>24</v>
      </c>
      <c r="Z39" s="6">
        <f t="shared" si="2"/>
        <v>24</v>
      </c>
      <c r="AA39" s="6">
        <f t="shared" si="2"/>
        <v>24</v>
      </c>
      <c r="AB39" s="6">
        <f t="shared" si="2"/>
        <v>24</v>
      </c>
      <c r="AC39" s="6">
        <f t="shared" si="2"/>
        <v>24</v>
      </c>
      <c r="AD39" s="6">
        <f t="shared" si="2"/>
        <v>24</v>
      </c>
      <c r="AE39" s="6">
        <f t="shared" si="2"/>
        <v>24</v>
      </c>
      <c r="AF39" s="6">
        <f t="shared" si="2"/>
        <v>24</v>
      </c>
      <c r="AG39" s="6">
        <f t="shared" si="2"/>
        <v>24</v>
      </c>
      <c r="AH39" s="6">
        <f t="shared" si="2"/>
        <v>24</v>
      </c>
      <c r="AI39" s="6">
        <f t="shared" si="2"/>
        <v>24</v>
      </c>
      <c r="AJ39" s="11">
        <f t="shared" si="1"/>
        <v>696</v>
      </c>
    </row>
    <row r="40" spans="1:39" ht="385">
      <c r="A40" s="117" t="s">
        <v>728</v>
      </c>
      <c r="D40" s="148" t="s">
        <v>2497</v>
      </c>
      <c r="E40" s="161" t="s">
        <v>2500</v>
      </c>
      <c r="F40" s="161" t="s">
        <v>2490</v>
      </c>
      <c r="G40" s="161" t="s">
        <v>2501</v>
      </c>
      <c r="H40" s="161" t="s">
        <v>2491</v>
      </c>
      <c r="I40" s="161" t="s">
        <v>2502</v>
      </c>
      <c r="J40" s="161" t="s">
        <v>2492</v>
      </c>
      <c r="K40" s="161" t="s">
        <v>2503</v>
      </c>
      <c r="L40" s="161" t="s">
        <v>2493</v>
      </c>
      <c r="M40" s="161" t="s">
        <v>2504</v>
      </c>
      <c r="N40" s="161" t="s">
        <v>2494</v>
      </c>
      <c r="O40" s="161" t="s">
        <v>2511</v>
      </c>
      <c r="P40" s="161" t="s">
        <v>2508</v>
      </c>
      <c r="Q40" s="161" t="s">
        <v>2510</v>
      </c>
      <c r="R40" s="161" t="s">
        <v>2495</v>
      </c>
      <c r="S40" s="161" t="s">
        <v>2509</v>
      </c>
      <c r="T40" s="161" t="s">
        <v>2505</v>
      </c>
      <c r="U40" s="161" t="s">
        <v>3630</v>
      </c>
      <c r="V40" s="161" t="s">
        <v>2507</v>
      </c>
      <c r="W40" s="161" t="s">
        <v>2512</v>
      </c>
      <c r="X40" s="161" t="s">
        <v>2513</v>
      </c>
      <c r="Y40" s="161" t="s">
        <v>2527</v>
      </c>
      <c r="Z40" s="161" t="s">
        <v>2514</v>
      </c>
      <c r="AA40" s="161" t="s">
        <v>2516</v>
      </c>
      <c r="AB40" s="161" t="s">
        <v>2515</v>
      </c>
      <c r="AC40" s="161" t="s">
        <v>2518</v>
      </c>
      <c r="AD40" s="161" t="s">
        <v>2521</v>
      </c>
      <c r="AE40" s="161" t="s">
        <v>2522</v>
      </c>
      <c r="AF40" s="161" t="s">
        <v>2523</v>
      </c>
      <c r="AG40" s="161" t="s">
        <v>2524</v>
      </c>
      <c r="AH40" s="161" t="s">
        <v>2525</v>
      </c>
      <c r="AI40" s="161" t="s">
        <v>2526</v>
      </c>
      <c r="AJ40" s="139"/>
      <c r="AK40" s="120"/>
      <c r="AL40" s="144"/>
    </row>
    <row r="41" spans="1:39" ht="154">
      <c r="A41" s="117" t="s">
        <v>2212</v>
      </c>
      <c r="E41" s="147" t="s">
        <v>2496</v>
      </c>
      <c r="F41" s="147"/>
      <c r="G41" s="147"/>
      <c r="H41" s="147"/>
      <c r="I41" s="147"/>
      <c r="J41" s="147"/>
      <c r="K41" s="147"/>
      <c r="L41" s="147"/>
      <c r="M41" s="147" t="s">
        <v>2498</v>
      </c>
      <c r="N41" s="147"/>
      <c r="O41" s="147"/>
      <c r="P41" s="147"/>
      <c r="Q41" s="147" t="s">
        <v>2499</v>
      </c>
      <c r="R41" s="147"/>
      <c r="S41" s="147"/>
      <c r="T41" s="147"/>
      <c r="U41" s="147"/>
      <c r="V41" s="147"/>
      <c r="W41" s="147"/>
      <c r="X41" s="147"/>
      <c r="Y41" s="147"/>
      <c r="Z41" s="147"/>
      <c r="AA41" s="147"/>
      <c r="AB41" s="147"/>
      <c r="AC41" s="147" t="s">
        <v>2519</v>
      </c>
      <c r="AD41" s="147"/>
      <c r="AE41" s="147"/>
      <c r="AF41" s="147"/>
      <c r="AG41" s="147"/>
      <c r="AH41" s="147"/>
      <c r="AI41" s="147"/>
      <c r="AJ41" s="139"/>
      <c r="AK41" s="120"/>
      <c r="AL41" s="144"/>
    </row>
    <row r="42" spans="1:39" s="231" customFormat="1" ht="409">
      <c r="A42" s="228" t="s">
        <v>2212</v>
      </c>
      <c r="B42" s="229"/>
      <c r="C42" s="229"/>
      <c r="D42" s="229"/>
      <c r="E42" s="230"/>
      <c r="F42" s="143"/>
      <c r="G42" s="143"/>
      <c r="H42" s="143"/>
      <c r="I42" s="143"/>
      <c r="J42" s="143"/>
      <c r="K42" s="143"/>
      <c r="L42" s="145"/>
      <c r="M42" s="232" t="s">
        <v>2418</v>
      </c>
      <c r="N42" s="233"/>
      <c r="O42" s="234" t="s">
        <v>2419</v>
      </c>
      <c r="P42" s="233"/>
      <c r="Q42" s="234" t="s">
        <v>2428</v>
      </c>
      <c r="R42" s="233"/>
      <c r="S42" s="233"/>
      <c r="T42" s="235" t="s">
        <v>2420</v>
      </c>
      <c r="U42" s="235" t="s">
        <v>2421</v>
      </c>
      <c r="V42" s="235"/>
      <c r="W42" s="235" t="s">
        <v>2422</v>
      </c>
      <c r="X42" s="233"/>
      <c r="Y42" s="235" t="s">
        <v>2423</v>
      </c>
      <c r="Z42" s="235" t="s">
        <v>2424</v>
      </c>
      <c r="AA42" s="233"/>
      <c r="AB42" s="235" t="s">
        <v>2425</v>
      </c>
      <c r="AC42" s="235" t="s">
        <v>2426</v>
      </c>
      <c r="AD42" s="233"/>
      <c r="AE42" s="232" t="s">
        <v>2427</v>
      </c>
      <c r="AF42" s="143"/>
      <c r="AG42" s="146"/>
      <c r="AH42" s="143"/>
      <c r="AI42" s="143"/>
      <c r="AJ42" s="139"/>
      <c r="AK42" s="139"/>
      <c r="AL42" s="120"/>
    </row>
    <row r="43" spans="1:39">
      <c r="A43" s="7"/>
      <c r="B43" s="7"/>
      <c r="C43" s="7"/>
      <c r="D43" s="7"/>
    </row>
  </sheetData>
  <sortState ref="A9:AM32">
    <sortCondition descending="1" ref="AI9:AI32"/>
  </sortState>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sheetViews>
  <sheetFormatPr baseColWidth="10" defaultRowHeight="13" x14ac:dyDescent="0"/>
  <cols>
    <col min="1" max="1" width="15.140625" style="3" customWidth="1"/>
    <col min="2" max="3" width="5.7109375" style="3" customWidth="1"/>
    <col min="4" max="4" width="10.7109375" style="3"/>
    <col min="6" max="20" width="10.7109375" style="3"/>
  </cols>
  <sheetData>
    <row r="1" spans="1:20">
      <c r="A1" s="137" t="s">
        <v>2404</v>
      </c>
    </row>
    <row r="2" spans="1:20">
      <c r="A2" s="1" t="s">
        <v>614</v>
      </c>
      <c r="B2" s="1"/>
      <c r="C2" s="1"/>
      <c r="D2" s="1"/>
      <c r="F2" s="1" t="s">
        <v>1309</v>
      </c>
      <c r="G2" s="1" t="s">
        <v>1309</v>
      </c>
      <c r="H2" s="1" t="s">
        <v>1309</v>
      </c>
      <c r="I2" s="1" t="s">
        <v>1309</v>
      </c>
      <c r="J2" s="1" t="s">
        <v>1309</v>
      </c>
      <c r="K2" s="1" t="s">
        <v>1309</v>
      </c>
      <c r="L2" s="1" t="s">
        <v>1309</v>
      </c>
      <c r="M2" s="1" t="s">
        <v>1309</v>
      </c>
      <c r="N2" s="1" t="s">
        <v>1309</v>
      </c>
      <c r="O2" s="1" t="s">
        <v>1309</v>
      </c>
      <c r="P2" s="1" t="s">
        <v>1309</v>
      </c>
      <c r="Q2" s="1" t="s">
        <v>1309</v>
      </c>
      <c r="R2" s="1" t="s">
        <v>1309</v>
      </c>
      <c r="S2" s="1" t="s">
        <v>1309</v>
      </c>
      <c r="T2" s="1" t="s">
        <v>1309</v>
      </c>
    </row>
    <row r="3" spans="1:20">
      <c r="A3" s="1" t="s">
        <v>518</v>
      </c>
      <c r="B3" s="1"/>
      <c r="C3" s="1"/>
      <c r="D3" s="1"/>
      <c r="F3" s="1" t="s">
        <v>1322</v>
      </c>
      <c r="G3" s="1" t="s">
        <v>1322</v>
      </c>
      <c r="H3" s="1" t="s">
        <v>1322</v>
      </c>
      <c r="I3" s="1" t="s">
        <v>1322</v>
      </c>
      <c r="J3" s="1" t="s">
        <v>1322</v>
      </c>
      <c r="K3" s="1" t="s">
        <v>1322</v>
      </c>
      <c r="L3" s="1" t="s">
        <v>1322</v>
      </c>
      <c r="M3" s="1" t="s">
        <v>1322</v>
      </c>
      <c r="N3" s="1" t="s">
        <v>1322</v>
      </c>
      <c r="O3" s="1" t="s">
        <v>1322</v>
      </c>
      <c r="P3" s="1" t="s">
        <v>1322</v>
      </c>
      <c r="Q3" s="1" t="s">
        <v>1322</v>
      </c>
      <c r="R3" s="1" t="s">
        <v>1322</v>
      </c>
      <c r="S3" s="1" t="s">
        <v>1322</v>
      </c>
      <c r="T3" s="1" t="s">
        <v>1322</v>
      </c>
    </row>
    <row r="4" spans="1:20">
      <c r="A4" s="1" t="s">
        <v>736</v>
      </c>
      <c r="B4" s="1"/>
      <c r="C4" s="1"/>
      <c r="D4" s="1"/>
      <c r="F4" s="1" t="s">
        <v>1886</v>
      </c>
      <c r="G4" s="1" t="s">
        <v>1886</v>
      </c>
      <c r="H4" s="1" t="s">
        <v>1886</v>
      </c>
      <c r="I4" s="1" t="s">
        <v>1886</v>
      </c>
      <c r="J4" s="1" t="s">
        <v>1886</v>
      </c>
      <c r="K4" s="1" t="s">
        <v>1886</v>
      </c>
      <c r="L4" s="1" t="s">
        <v>1886</v>
      </c>
      <c r="M4" s="1" t="s">
        <v>1886</v>
      </c>
      <c r="N4" s="1" t="s">
        <v>1886</v>
      </c>
      <c r="O4" s="1" t="s">
        <v>1886</v>
      </c>
      <c r="P4" s="1" t="s">
        <v>1886</v>
      </c>
      <c r="Q4" s="1" t="s">
        <v>1886</v>
      </c>
      <c r="R4" s="1" t="s">
        <v>1886</v>
      </c>
      <c r="S4" s="1" t="s">
        <v>1886</v>
      </c>
      <c r="T4" s="1" t="s">
        <v>1886</v>
      </c>
    </row>
    <row r="5" spans="1:20">
      <c r="A5" s="1" t="s">
        <v>737</v>
      </c>
      <c r="B5" s="1"/>
      <c r="C5" s="1"/>
      <c r="D5" s="1"/>
      <c r="F5" s="1" t="s">
        <v>272</v>
      </c>
      <c r="G5" s="1" t="s">
        <v>272</v>
      </c>
      <c r="H5" s="1" t="s">
        <v>272</v>
      </c>
      <c r="I5" s="1" t="s">
        <v>272</v>
      </c>
      <c r="J5" s="1" t="s">
        <v>1502</v>
      </c>
      <c r="K5" s="1" t="s">
        <v>1502</v>
      </c>
      <c r="L5" s="1" t="s">
        <v>1502</v>
      </c>
      <c r="M5" s="1" t="s">
        <v>1502</v>
      </c>
      <c r="N5" s="1" t="s">
        <v>1502</v>
      </c>
      <c r="O5" s="1" t="s">
        <v>1502</v>
      </c>
      <c r="P5" s="1" t="s">
        <v>1502</v>
      </c>
      <c r="Q5" s="1" t="s">
        <v>1502</v>
      </c>
      <c r="R5" s="1" t="s">
        <v>221</v>
      </c>
      <c r="S5" s="1" t="s">
        <v>129</v>
      </c>
      <c r="T5" s="1" t="s">
        <v>1502</v>
      </c>
    </row>
    <row r="6" spans="1:20">
      <c r="A6" s="42" t="s">
        <v>560</v>
      </c>
      <c r="B6" s="42"/>
      <c r="C6" s="42"/>
      <c r="D6" s="42"/>
      <c r="F6" s="42" t="s">
        <v>1446</v>
      </c>
      <c r="G6" s="42" t="s">
        <v>240</v>
      </c>
      <c r="H6" s="42" t="s">
        <v>280</v>
      </c>
      <c r="I6" s="42" t="s">
        <v>251</v>
      </c>
      <c r="J6" s="42" t="s">
        <v>1526</v>
      </c>
      <c r="K6" s="42" t="s">
        <v>1527</v>
      </c>
      <c r="L6" s="42" t="s">
        <v>1528</v>
      </c>
      <c r="M6" s="42" t="s">
        <v>259</v>
      </c>
      <c r="N6" s="42" t="s">
        <v>1529</v>
      </c>
      <c r="O6" s="42" t="s">
        <v>261</v>
      </c>
      <c r="P6" s="42" t="s">
        <v>1530</v>
      </c>
      <c r="Q6" s="42" t="s">
        <v>1096</v>
      </c>
      <c r="R6" s="42" t="s">
        <v>1553</v>
      </c>
      <c r="S6" s="42" t="s">
        <v>130</v>
      </c>
      <c r="T6" s="42" t="s">
        <v>1096</v>
      </c>
    </row>
    <row r="7" spans="1:20" ht="77">
      <c r="A7" s="7" t="s">
        <v>3334</v>
      </c>
      <c r="B7" s="1"/>
      <c r="C7" s="1"/>
      <c r="D7" s="1"/>
      <c r="F7" s="1" t="s">
        <v>1503</v>
      </c>
      <c r="G7" s="1" t="s">
        <v>281</v>
      </c>
      <c r="H7" s="1" t="s">
        <v>222</v>
      </c>
      <c r="I7" s="1" t="s">
        <v>269</v>
      </c>
      <c r="J7" s="1" t="s">
        <v>1442</v>
      </c>
      <c r="K7" s="1" t="s">
        <v>1443</v>
      </c>
      <c r="L7" s="1" t="s">
        <v>1444</v>
      </c>
      <c r="M7" s="1" t="s">
        <v>1531</v>
      </c>
      <c r="N7" s="1" t="s">
        <v>1532</v>
      </c>
      <c r="O7" s="1" t="s">
        <v>1533</v>
      </c>
      <c r="P7" s="1" t="s">
        <v>1441</v>
      </c>
      <c r="Q7" s="1" t="s">
        <v>1380</v>
      </c>
      <c r="R7" s="1" t="s">
        <v>237</v>
      </c>
      <c r="S7" s="1" t="s">
        <v>220</v>
      </c>
      <c r="T7" s="1" t="s">
        <v>1988</v>
      </c>
    </row>
    <row r="8" spans="1:20">
      <c r="A8" s="9" t="s">
        <v>572</v>
      </c>
      <c r="B8" s="9" t="s">
        <v>770</v>
      </c>
      <c r="C8" s="9" t="s">
        <v>771</v>
      </c>
      <c r="D8" s="9" t="s">
        <v>772</v>
      </c>
      <c r="F8" s="9" t="s">
        <v>1674</v>
      </c>
      <c r="G8" s="9" t="s">
        <v>1675</v>
      </c>
      <c r="H8" s="9" t="s">
        <v>1676</v>
      </c>
      <c r="I8" s="9" t="s">
        <v>1677</v>
      </c>
      <c r="J8" s="9" t="s">
        <v>1678</v>
      </c>
      <c r="K8" s="9" t="s">
        <v>1679</v>
      </c>
      <c r="L8" s="9" t="s">
        <v>1680</v>
      </c>
      <c r="M8" s="9" t="s">
        <v>1681</v>
      </c>
      <c r="N8" s="9" t="s">
        <v>1682</v>
      </c>
      <c r="O8" s="9" t="s">
        <v>1683</v>
      </c>
      <c r="P8" s="9" t="s">
        <v>1684</v>
      </c>
      <c r="Q8" s="9" t="s">
        <v>1685</v>
      </c>
      <c r="R8" s="9" t="s">
        <v>1686</v>
      </c>
      <c r="S8" s="9" t="s">
        <v>1687</v>
      </c>
      <c r="T8" s="9" t="s">
        <v>2136</v>
      </c>
    </row>
    <row r="9" spans="1:20">
      <c r="A9" s="3" t="s">
        <v>850</v>
      </c>
      <c r="B9" s="3" t="s">
        <v>851</v>
      </c>
      <c r="C9" s="3">
        <v>1</v>
      </c>
      <c r="D9" s="3" t="s">
        <v>759</v>
      </c>
      <c r="F9" s="65">
        <v>1.4</v>
      </c>
      <c r="G9" s="65">
        <v>0</v>
      </c>
      <c r="H9" s="65">
        <v>4.3</v>
      </c>
      <c r="I9" s="65">
        <v>5.7</v>
      </c>
      <c r="J9" s="65">
        <v>4.2</v>
      </c>
      <c r="K9" s="65">
        <v>18.600000000000001</v>
      </c>
      <c r="L9" s="65">
        <v>30</v>
      </c>
      <c r="M9" s="65">
        <v>31.4</v>
      </c>
      <c r="N9" s="65">
        <v>31.4</v>
      </c>
      <c r="O9" s="65">
        <v>31.4</v>
      </c>
      <c r="P9" s="65">
        <v>34.299999999999997</v>
      </c>
      <c r="Q9" s="65">
        <v>38.6</v>
      </c>
      <c r="R9" s="72">
        <f>(28/69)*100</f>
        <v>40.579710144927539</v>
      </c>
      <c r="S9" s="72">
        <f>(27/70)*100</f>
        <v>38.571428571428577</v>
      </c>
      <c r="T9" s="64">
        <v>70</v>
      </c>
    </row>
    <row r="10" spans="1:20">
      <c r="A10" s="3" t="s">
        <v>667</v>
      </c>
      <c r="B10" s="3" t="s">
        <v>668</v>
      </c>
      <c r="C10" s="3">
        <v>2</v>
      </c>
      <c r="D10" s="3" t="s">
        <v>759</v>
      </c>
      <c r="F10" s="65">
        <v>4</v>
      </c>
      <c r="G10" s="65">
        <v>16</v>
      </c>
      <c r="H10" s="65">
        <v>20</v>
      </c>
      <c r="I10" s="65">
        <v>16</v>
      </c>
      <c r="J10" s="65">
        <v>4.2</v>
      </c>
      <c r="K10" s="65">
        <v>20</v>
      </c>
      <c r="L10" s="65">
        <v>32</v>
      </c>
      <c r="M10" s="65">
        <v>28</v>
      </c>
      <c r="N10" s="65">
        <v>32</v>
      </c>
      <c r="O10" s="65">
        <v>28</v>
      </c>
      <c r="P10" s="65">
        <v>44</v>
      </c>
      <c r="Q10" s="65">
        <v>44</v>
      </c>
      <c r="R10" s="72">
        <f>(11/25)*100</f>
        <v>44</v>
      </c>
      <c r="S10" s="72">
        <f>(12/24)*100</f>
        <v>50</v>
      </c>
      <c r="T10" s="64">
        <v>25</v>
      </c>
    </row>
    <row r="11" spans="1:20">
      <c r="A11" s="3" t="s">
        <v>669</v>
      </c>
      <c r="B11" s="3" t="s">
        <v>663</v>
      </c>
      <c r="C11" s="3">
        <v>3</v>
      </c>
      <c r="D11" s="3" t="s">
        <v>664</v>
      </c>
      <c r="F11" s="65">
        <v>0</v>
      </c>
      <c r="G11" s="65">
        <v>0</v>
      </c>
      <c r="H11" s="65">
        <v>0</v>
      </c>
      <c r="I11" s="65">
        <v>0</v>
      </c>
      <c r="J11" s="65">
        <v>0</v>
      </c>
      <c r="K11" s="65">
        <v>0</v>
      </c>
      <c r="L11" s="65">
        <v>0</v>
      </c>
      <c r="M11" s="65">
        <v>40</v>
      </c>
      <c r="N11" s="65">
        <v>40</v>
      </c>
      <c r="O11" s="65">
        <v>20</v>
      </c>
      <c r="P11" s="65">
        <v>40</v>
      </c>
      <c r="Q11" s="65">
        <v>20</v>
      </c>
      <c r="R11" s="72">
        <f>(1/5)*100</f>
        <v>20</v>
      </c>
      <c r="S11" s="72">
        <f>(1/5)*100</f>
        <v>20</v>
      </c>
      <c r="T11" s="64">
        <v>5</v>
      </c>
    </row>
    <row r="12" spans="1:20">
      <c r="A12" s="3" t="s">
        <v>665</v>
      </c>
      <c r="B12" s="3" t="s">
        <v>640</v>
      </c>
      <c r="C12" s="3">
        <v>4</v>
      </c>
      <c r="D12" s="3" t="s">
        <v>641</v>
      </c>
      <c r="F12" s="65">
        <v>0</v>
      </c>
      <c r="G12" s="65">
        <v>0</v>
      </c>
      <c r="H12" s="65">
        <v>0</v>
      </c>
      <c r="I12" s="65">
        <v>0</v>
      </c>
      <c r="J12" s="65">
        <v>0</v>
      </c>
      <c r="K12" s="65">
        <v>14.3</v>
      </c>
      <c r="L12" s="65">
        <v>42.9</v>
      </c>
      <c r="M12" s="65">
        <v>42.9</v>
      </c>
      <c r="N12" s="65">
        <v>28.6</v>
      </c>
      <c r="O12" s="65">
        <v>42.9</v>
      </c>
      <c r="P12" s="65">
        <v>42.9</v>
      </c>
      <c r="Q12" s="65">
        <v>42.9</v>
      </c>
      <c r="R12" s="72">
        <f>(4/7)*100</f>
        <v>57.142857142857139</v>
      </c>
      <c r="S12" s="72">
        <f>(3/6)*100</f>
        <v>50</v>
      </c>
      <c r="T12" s="64">
        <v>7</v>
      </c>
    </row>
    <row r="13" spans="1:20">
      <c r="A13" s="3" t="s">
        <v>539</v>
      </c>
      <c r="B13" s="3" t="s">
        <v>540</v>
      </c>
      <c r="C13" s="3">
        <v>5</v>
      </c>
      <c r="D13" s="3" t="s">
        <v>541</v>
      </c>
      <c r="F13" s="65">
        <v>0</v>
      </c>
      <c r="G13" s="65">
        <v>0</v>
      </c>
      <c r="H13" s="65">
        <v>0</v>
      </c>
      <c r="I13" s="65">
        <v>0</v>
      </c>
      <c r="J13" s="65">
        <v>20</v>
      </c>
      <c r="K13" s="65">
        <v>0</v>
      </c>
      <c r="L13" s="65">
        <v>40</v>
      </c>
      <c r="M13" s="65">
        <v>20</v>
      </c>
      <c r="N13" s="65">
        <v>20</v>
      </c>
      <c r="O13" s="65">
        <v>40</v>
      </c>
      <c r="P13" s="65">
        <v>0</v>
      </c>
      <c r="Q13" s="65">
        <v>20</v>
      </c>
      <c r="R13" s="72">
        <f>(3/5)*100</f>
        <v>60</v>
      </c>
      <c r="S13" s="72">
        <f>(2/5)*100</f>
        <v>40</v>
      </c>
      <c r="T13" s="64">
        <v>5</v>
      </c>
    </row>
    <row r="14" spans="1:20">
      <c r="A14" s="3" t="s">
        <v>542</v>
      </c>
      <c r="B14" s="3" t="s">
        <v>543</v>
      </c>
      <c r="C14" s="3">
        <v>6</v>
      </c>
      <c r="D14" s="3" t="s">
        <v>759</v>
      </c>
      <c r="F14" s="65">
        <v>22.2</v>
      </c>
      <c r="G14" s="65">
        <v>16.7</v>
      </c>
      <c r="H14" s="65">
        <v>0</v>
      </c>
      <c r="I14" s="65">
        <v>5.6</v>
      </c>
      <c r="J14" s="65">
        <v>5.6</v>
      </c>
      <c r="K14" s="65">
        <v>11.1</v>
      </c>
      <c r="L14" s="65">
        <v>27.8</v>
      </c>
      <c r="M14" s="65">
        <v>22.2</v>
      </c>
      <c r="N14" s="65">
        <v>22.2</v>
      </c>
      <c r="O14" s="65">
        <v>22.2</v>
      </c>
      <c r="P14" s="65">
        <v>27.8</v>
      </c>
      <c r="Q14" s="65">
        <v>38.9</v>
      </c>
      <c r="R14" s="72">
        <f>(8/18)*100</f>
        <v>44.444444444444443</v>
      </c>
      <c r="S14" s="72">
        <f>(8/18)*100</f>
        <v>44.444444444444443</v>
      </c>
      <c r="T14" s="64">
        <v>18</v>
      </c>
    </row>
    <row r="15" spans="1:20">
      <c r="A15" s="3" t="s">
        <v>628</v>
      </c>
      <c r="B15" s="3" t="s">
        <v>629</v>
      </c>
      <c r="C15" s="3">
        <v>7</v>
      </c>
      <c r="D15" s="3" t="s">
        <v>641</v>
      </c>
      <c r="F15" s="65">
        <v>0</v>
      </c>
      <c r="G15" s="65">
        <v>0</v>
      </c>
      <c r="H15" s="65">
        <v>0</v>
      </c>
      <c r="I15" s="65">
        <v>14.3</v>
      </c>
      <c r="J15" s="65">
        <v>14.3</v>
      </c>
      <c r="K15" s="65">
        <v>0</v>
      </c>
      <c r="L15" s="65">
        <v>28.6</v>
      </c>
      <c r="M15" s="65">
        <v>42.9</v>
      </c>
      <c r="N15" s="65">
        <v>14.3</v>
      </c>
      <c r="O15" s="65">
        <v>28.6</v>
      </c>
      <c r="P15" s="65">
        <v>28.6</v>
      </c>
      <c r="Q15" s="65">
        <v>28.6</v>
      </c>
      <c r="R15" s="72">
        <f>(2/7)*100</f>
        <v>28.571428571428569</v>
      </c>
      <c r="S15" s="72">
        <f>(2/7)*100</f>
        <v>28.571428571428569</v>
      </c>
      <c r="T15" s="64">
        <v>7</v>
      </c>
    </row>
    <row r="16" spans="1:20">
      <c r="A16" s="3" t="s">
        <v>630</v>
      </c>
      <c r="B16" s="3" t="s">
        <v>631</v>
      </c>
      <c r="C16" s="3">
        <v>8</v>
      </c>
      <c r="D16" s="3" t="s">
        <v>759</v>
      </c>
      <c r="F16" s="65">
        <v>0</v>
      </c>
      <c r="G16" s="65">
        <v>0</v>
      </c>
      <c r="H16" s="65">
        <v>0</v>
      </c>
      <c r="I16" s="65">
        <v>0</v>
      </c>
      <c r="J16" s="65">
        <v>0</v>
      </c>
      <c r="K16" s="65">
        <v>0</v>
      </c>
      <c r="L16" s="65">
        <v>22.2</v>
      </c>
      <c r="M16" s="65">
        <v>33.299999999999997</v>
      </c>
      <c r="N16" s="65">
        <v>44.4</v>
      </c>
      <c r="O16" s="65">
        <v>44.4</v>
      </c>
      <c r="P16" s="65">
        <v>44.4</v>
      </c>
      <c r="Q16" s="65">
        <v>22.2</v>
      </c>
      <c r="R16" s="72">
        <f>(2/9)*100</f>
        <v>22.222222222222221</v>
      </c>
      <c r="S16" s="72">
        <f>(2/9)*100</f>
        <v>22.222222222222221</v>
      </c>
      <c r="T16" s="64">
        <v>9</v>
      </c>
    </row>
    <row r="17" spans="1:20">
      <c r="A17" s="3" t="s">
        <v>632</v>
      </c>
      <c r="B17" s="3" t="s">
        <v>633</v>
      </c>
      <c r="C17" s="3">
        <v>9</v>
      </c>
      <c r="D17" s="3" t="s">
        <v>641</v>
      </c>
      <c r="F17" s="65">
        <v>20</v>
      </c>
      <c r="G17" s="65">
        <v>0</v>
      </c>
      <c r="H17" s="65">
        <v>0</v>
      </c>
      <c r="I17" s="65">
        <v>20</v>
      </c>
      <c r="J17" s="65">
        <v>20</v>
      </c>
      <c r="K17" s="65">
        <v>0</v>
      </c>
      <c r="L17" s="65">
        <v>20</v>
      </c>
      <c r="M17" s="65">
        <v>0</v>
      </c>
      <c r="N17" s="65">
        <v>20</v>
      </c>
      <c r="O17" s="65">
        <v>40</v>
      </c>
      <c r="P17" s="65">
        <v>40</v>
      </c>
      <c r="Q17" s="65">
        <v>40</v>
      </c>
      <c r="R17" s="72">
        <f>(2/5)*100</f>
        <v>40</v>
      </c>
      <c r="S17" s="72">
        <f>(1/5)*100</f>
        <v>20</v>
      </c>
      <c r="T17" s="64">
        <v>5</v>
      </c>
    </row>
    <row r="18" spans="1:20">
      <c r="A18" s="3" t="s">
        <v>634</v>
      </c>
      <c r="B18" s="3" t="s">
        <v>715</v>
      </c>
      <c r="C18" s="3">
        <v>10</v>
      </c>
      <c r="D18" s="3" t="s">
        <v>664</v>
      </c>
      <c r="F18" s="65">
        <v>16.7</v>
      </c>
      <c r="G18" s="65">
        <v>16.7</v>
      </c>
      <c r="H18" s="65">
        <v>16.7</v>
      </c>
      <c r="I18" s="65">
        <v>16.7</v>
      </c>
      <c r="J18" s="65">
        <v>33.299999999999997</v>
      </c>
      <c r="K18" s="65">
        <v>33.299999999999997</v>
      </c>
      <c r="L18" s="65">
        <v>16.7</v>
      </c>
      <c r="M18" s="65">
        <v>33.299999999999997</v>
      </c>
      <c r="N18" s="65">
        <v>33.299999999999997</v>
      </c>
      <c r="O18" s="65">
        <v>33.299999999999997</v>
      </c>
      <c r="P18" s="65">
        <v>33.299999999999997</v>
      </c>
      <c r="Q18" s="65">
        <v>16.7</v>
      </c>
      <c r="R18" s="65">
        <f>(1/6)*100</f>
        <v>16.666666666666664</v>
      </c>
      <c r="S18" s="65">
        <f>(1/6)*100</f>
        <v>16.666666666666664</v>
      </c>
      <c r="T18" s="64">
        <v>6</v>
      </c>
    </row>
    <row r="19" spans="1:20">
      <c r="A19" s="3" t="s">
        <v>716</v>
      </c>
      <c r="B19" s="3" t="s">
        <v>717</v>
      </c>
      <c r="C19" s="3">
        <v>11</v>
      </c>
      <c r="D19" s="3" t="s">
        <v>541</v>
      </c>
      <c r="F19" s="65">
        <v>0</v>
      </c>
      <c r="G19" s="65">
        <v>0</v>
      </c>
      <c r="H19" s="65">
        <v>0</v>
      </c>
      <c r="I19" s="65">
        <v>0</v>
      </c>
      <c r="J19" s="65">
        <v>0</v>
      </c>
      <c r="K19" s="65">
        <v>0</v>
      </c>
      <c r="L19" s="65">
        <v>20</v>
      </c>
      <c r="M19" s="65">
        <v>20</v>
      </c>
      <c r="N19" s="65">
        <v>0</v>
      </c>
      <c r="O19" s="65">
        <v>20</v>
      </c>
      <c r="P19" s="65">
        <v>20</v>
      </c>
      <c r="Q19" s="65">
        <v>20</v>
      </c>
      <c r="R19" s="65">
        <f>(2/5)*100</f>
        <v>40</v>
      </c>
      <c r="S19" s="65">
        <f>(2/5)*100</f>
        <v>40</v>
      </c>
      <c r="T19" s="64">
        <v>5</v>
      </c>
    </row>
    <row r="20" spans="1:20">
      <c r="A20" s="3" t="s">
        <v>718</v>
      </c>
      <c r="B20" s="3" t="s">
        <v>719</v>
      </c>
      <c r="C20" s="3">
        <v>12</v>
      </c>
      <c r="D20" s="3" t="s">
        <v>664</v>
      </c>
      <c r="F20" s="65">
        <v>0</v>
      </c>
      <c r="G20" s="65">
        <v>0</v>
      </c>
      <c r="H20" s="65">
        <v>0</v>
      </c>
      <c r="I20" s="65">
        <v>0</v>
      </c>
      <c r="J20" s="65">
        <v>0</v>
      </c>
      <c r="K20" s="65">
        <v>0</v>
      </c>
      <c r="L20" s="65">
        <v>20</v>
      </c>
      <c r="M20" s="65">
        <v>20</v>
      </c>
      <c r="N20" s="65">
        <v>20</v>
      </c>
      <c r="O20" s="65">
        <v>40</v>
      </c>
      <c r="P20" s="65">
        <v>60</v>
      </c>
      <c r="Q20" s="65">
        <v>40</v>
      </c>
      <c r="R20" s="65">
        <f>(2/5)*100</f>
        <v>40</v>
      </c>
      <c r="S20" s="65">
        <f>(2/5)*100</f>
        <v>40</v>
      </c>
      <c r="T20" s="64">
        <v>5</v>
      </c>
    </row>
    <row r="21" spans="1:20">
      <c r="A21" s="3" t="s">
        <v>711</v>
      </c>
      <c r="B21" s="3" t="s">
        <v>712</v>
      </c>
      <c r="C21" s="3">
        <v>13</v>
      </c>
      <c r="D21" s="3" t="s">
        <v>713</v>
      </c>
      <c r="F21" s="65">
        <v>0</v>
      </c>
      <c r="G21" s="65">
        <v>0</v>
      </c>
      <c r="H21" s="65">
        <v>0</v>
      </c>
      <c r="I21" s="65">
        <v>0</v>
      </c>
      <c r="J21" s="65">
        <v>0</v>
      </c>
      <c r="K21" s="65">
        <v>10</v>
      </c>
      <c r="L21" s="65">
        <v>10</v>
      </c>
      <c r="M21" s="65">
        <v>10</v>
      </c>
      <c r="N21" s="65">
        <v>20</v>
      </c>
      <c r="O21" s="65">
        <v>30</v>
      </c>
      <c r="P21" s="65">
        <v>30</v>
      </c>
      <c r="Q21" s="65">
        <v>40</v>
      </c>
      <c r="R21" s="72">
        <f>(4/10)*100</f>
        <v>40</v>
      </c>
      <c r="S21" s="72">
        <f>(2/10)*100</f>
        <v>20</v>
      </c>
      <c r="T21" s="64">
        <v>10</v>
      </c>
    </row>
    <row r="22" spans="1:20">
      <c r="A22" s="3" t="s">
        <v>714</v>
      </c>
      <c r="B22" s="3" t="s">
        <v>530</v>
      </c>
      <c r="C22" s="3">
        <v>14</v>
      </c>
      <c r="D22" s="3" t="s">
        <v>641</v>
      </c>
      <c r="F22" s="65">
        <v>0</v>
      </c>
      <c r="G22" s="65">
        <v>0</v>
      </c>
      <c r="H22" s="65">
        <v>0</v>
      </c>
      <c r="I22" s="65">
        <v>14.3</v>
      </c>
      <c r="J22" s="65">
        <v>14.3</v>
      </c>
      <c r="K22" s="65">
        <v>14.3</v>
      </c>
      <c r="L22" s="65">
        <v>28.6</v>
      </c>
      <c r="M22" s="65">
        <v>42.9</v>
      </c>
      <c r="N22" s="65">
        <v>42.9</v>
      </c>
      <c r="O22" s="65">
        <v>42.9</v>
      </c>
      <c r="P22" s="65">
        <v>42.9</v>
      </c>
      <c r="Q22" s="65">
        <v>42.9</v>
      </c>
      <c r="R22" s="72">
        <f>(3/7)*100</f>
        <v>42.857142857142854</v>
      </c>
      <c r="S22" s="72">
        <f>(3/7)*100</f>
        <v>42.857142857142854</v>
      </c>
      <c r="T22" s="64">
        <v>7</v>
      </c>
    </row>
    <row r="23" spans="1:20">
      <c r="A23" s="3" t="s">
        <v>620</v>
      </c>
      <c r="B23" s="3" t="s">
        <v>621</v>
      </c>
      <c r="C23" s="3">
        <v>15</v>
      </c>
      <c r="D23" s="3" t="s">
        <v>541</v>
      </c>
      <c r="F23" s="65">
        <v>0</v>
      </c>
      <c r="G23" s="65">
        <v>0</v>
      </c>
      <c r="H23" s="65">
        <v>0</v>
      </c>
      <c r="I23" s="65">
        <v>0</v>
      </c>
      <c r="J23" s="65">
        <v>0</v>
      </c>
      <c r="K23" s="65">
        <v>20</v>
      </c>
      <c r="L23" s="65">
        <v>20</v>
      </c>
      <c r="M23" s="65">
        <v>20</v>
      </c>
      <c r="N23" s="65">
        <v>60</v>
      </c>
      <c r="O23" s="65">
        <v>20</v>
      </c>
      <c r="P23" s="65">
        <v>60</v>
      </c>
      <c r="Q23" s="65">
        <v>40</v>
      </c>
      <c r="R23" s="72">
        <f>(1/5)*100</f>
        <v>20</v>
      </c>
      <c r="S23" s="72">
        <f>(2/5)*100</f>
        <v>40</v>
      </c>
      <c r="T23" s="64">
        <v>5</v>
      </c>
    </row>
    <row r="24" spans="1:20">
      <c r="A24" s="3" t="s">
        <v>622</v>
      </c>
      <c r="B24" s="3" t="s">
        <v>925</v>
      </c>
      <c r="C24" s="3">
        <v>16</v>
      </c>
      <c r="D24" s="3" t="s">
        <v>541</v>
      </c>
      <c r="F24" s="65">
        <v>0</v>
      </c>
      <c r="G24" s="65">
        <v>0</v>
      </c>
      <c r="H24" s="65">
        <v>0</v>
      </c>
      <c r="I24" s="65">
        <v>0</v>
      </c>
      <c r="J24" s="65">
        <v>20</v>
      </c>
      <c r="K24" s="65">
        <v>20</v>
      </c>
      <c r="L24" s="65">
        <v>0</v>
      </c>
      <c r="M24" s="65">
        <v>40</v>
      </c>
      <c r="N24" s="65">
        <v>20</v>
      </c>
      <c r="O24" s="65">
        <v>20</v>
      </c>
      <c r="P24" s="65">
        <v>20</v>
      </c>
      <c r="Q24" s="66">
        <v>0</v>
      </c>
      <c r="R24" s="72">
        <f>(1/5)*100</f>
        <v>20</v>
      </c>
      <c r="S24" s="72">
        <f>(1/5)*100</f>
        <v>20</v>
      </c>
      <c r="T24" s="64">
        <v>5</v>
      </c>
    </row>
    <row r="25" spans="1:20">
      <c r="A25" s="3" t="s">
        <v>926</v>
      </c>
      <c r="B25" s="3" t="s">
        <v>927</v>
      </c>
      <c r="C25" s="3">
        <v>17</v>
      </c>
      <c r="D25" s="3" t="s">
        <v>664</v>
      </c>
      <c r="F25" s="65">
        <v>0</v>
      </c>
      <c r="G25" s="65">
        <v>0</v>
      </c>
      <c r="H25" s="65">
        <v>0</v>
      </c>
      <c r="I25" s="65">
        <v>0</v>
      </c>
      <c r="J25" s="65">
        <v>14.3</v>
      </c>
      <c r="K25" s="65">
        <v>33.299999999999997</v>
      </c>
      <c r="L25" s="65">
        <v>28.6</v>
      </c>
      <c r="M25" s="65">
        <v>42.9</v>
      </c>
      <c r="N25" s="65">
        <v>42.9</v>
      </c>
      <c r="O25" s="65">
        <v>42.9</v>
      </c>
      <c r="P25" s="65">
        <v>28.6</v>
      </c>
      <c r="Q25" s="65">
        <v>28.6</v>
      </c>
      <c r="R25" s="72">
        <f>(4/7)*100</f>
        <v>57.142857142857139</v>
      </c>
      <c r="S25" s="72">
        <f>(2/7)*100</f>
        <v>28.571428571428569</v>
      </c>
      <c r="T25" s="64">
        <v>7</v>
      </c>
    </row>
    <row r="26" spans="1:20">
      <c r="A26" s="3" t="s">
        <v>928</v>
      </c>
      <c r="B26" s="3" t="s">
        <v>929</v>
      </c>
      <c r="C26" s="3">
        <v>18</v>
      </c>
      <c r="D26" s="3" t="s">
        <v>713</v>
      </c>
      <c r="F26" s="65">
        <v>33.299999999999997</v>
      </c>
      <c r="G26" s="65">
        <v>33.299999999999997</v>
      </c>
      <c r="H26" s="65">
        <v>16.7</v>
      </c>
      <c r="I26" s="65">
        <v>16.7</v>
      </c>
      <c r="J26" s="65">
        <v>0</v>
      </c>
      <c r="K26" s="65">
        <v>0</v>
      </c>
      <c r="L26" s="65">
        <v>50</v>
      </c>
      <c r="M26" s="65">
        <v>33.299999999999997</v>
      </c>
      <c r="N26" s="65">
        <v>0</v>
      </c>
      <c r="O26" s="65">
        <v>0</v>
      </c>
      <c r="P26" s="65">
        <v>0</v>
      </c>
      <c r="Q26" s="65">
        <v>33.299999999999997</v>
      </c>
      <c r="R26" s="72">
        <f>(3/6)*100</f>
        <v>50</v>
      </c>
      <c r="S26" s="72">
        <f>(2/6)*100</f>
        <v>33.333333333333329</v>
      </c>
      <c r="T26" s="64">
        <v>6</v>
      </c>
    </row>
    <row r="27" spans="1:20">
      <c r="A27" s="3" t="s">
        <v>841</v>
      </c>
      <c r="B27" s="3" t="s">
        <v>659</v>
      </c>
      <c r="C27" s="3">
        <v>19</v>
      </c>
      <c r="D27" s="3" t="s">
        <v>713</v>
      </c>
      <c r="F27" s="65">
        <v>0</v>
      </c>
      <c r="G27" s="65">
        <v>0</v>
      </c>
      <c r="H27" s="65">
        <v>0</v>
      </c>
      <c r="I27" s="65">
        <v>0</v>
      </c>
      <c r="J27" s="65">
        <v>0</v>
      </c>
      <c r="K27" s="65">
        <v>20</v>
      </c>
      <c r="L27" s="65">
        <v>40</v>
      </c>
      <c r="M27" s="65">
        <v>40</v>
      </c>
      <c r="N27" s="65">
        <v>20</v>
      </c>
      <c r="O27" s="65">
        <v>20</v>
      </c>
      <c r="P27" s="65">
        <v>20</v>
      </c>
      <c r="Q27" s="65">
        <v>40</v>
      </c>
      <c r="R27" s="72">
        <f>(2/5)*100</f>
        <v>40</v>
      </c>
      <c r="S27" s="72">
        <f>(2/5)*100</f>
        <v>40</v>
      </c>
      <c r="T27" s="64">
        <v>5</v>
      </c>
    </row>
    <row r="28" spans="1:20">
      <c r="A28" s="3" t="s">
        <v>660</v>
      </c>
      <c r="B28" s="3" t="s">
        <v>661</v>
      </c>
      <c r="C28" s="3">
        <v>20</v>
      </c>
      <c r="D28" s="3" t="s">
        <v>541</v>
      </c>
      <c r="F28" s="65">
        <v>0</v>
      </c>
      <c r="G28" s="65">
        <v>0</v>
      </c>
      <c r="H28" s="65">
        <v>0</v>
      </c>
      <c r="I28" s="65">
        <v>20</v>
      </c>
      <c r="J28" s="65">
        <v>20</v>
      </c>
      <c r="K28" s="65">
        <v>20</v>
      </c>
      <c r="L28" s="65">
        <v>40</v>
      </c>
      <c r="M28" s="65">
        <v>60</v>
      </c>
      <c r="N28" s="65">
        <v>40</v>
      </c>
      <c r="O28" s="65">
        <v>20</v>
      </c>
      <c r="P28" s="65">
        <v>40</v>
      </c>
      <c r="Q28" s="65">
        <v>40</v>
      </c>
      <c r="R28" s="72">
        <f>(2/5)*100</f>
        <v>40</v>
      </c>
      <c r="S28" s="72">
        <f>(3/5)*100</f>
        <v>60</v>
      </c>
      <c r="T28" s="64">
        <v>5</v>
      </c>
    </row>
    <row r="29" spans="1:20">
      <c r="A29" s="3" t="s">
        <v>80</v>
      </c>
      <c r="B29" s="3" t="s">
        <v>747</v>
      </c>
      <c r="C29" s="3">
        <v>21</v>
      </c>
      <c r="D29" s="3" t="s">
        <v>759</v>
      </c>
      <c r="F29" s="65">
        <v>0</v>
      </c>
      <c r="G29" s="65">
        <v>0</v>
      </c>
      <c r="H29" s="65">
        <v>0</v>
      </c>
      <c r="I29" s="65">
        <v>0</v>
      </c>
      <c r="J29" s="65">
        <v>0</v>
      </c>
      <c r="K29" s="65">
        <v>10</v>
      </c>
      <c r="L29" s="65">
        <v>31.6</v>
      </c>
      <c r="M29" s="65">
        <v>26.3</v>
      </c>
      <c r="N29" s="65">
        <v>31.6</v>
      </c>
      <c r="O29" s="65">
        <v>31.6</v>
      </c>
      <c r="P29" s="65">
        <v>31.6</v>
      </c>
      <c r="Q29" s="65">
        <v>31.6</v>
      </c>
      <c r="R29" s="72">
        <f>(8/19)*100</f>
        <v>42.105263157894733</v>
      </c>
      <c r="S29" s="72">
        <f>(6/19)*100</f>
        <v>31.578947368421051</v>
      </c>
      <c r="T29" s="64">
        <v>19</v>
      </c>
    </row>
    <row r="30" spans="1:20">
      <c r="A30" s="3" t="s">
        <v>721</v>
      </c>
      <c r="B30" s="3" t="s">
        <v>722</v>
      </c>
      <c r="C30" s="3">
        <v>22</v>
      </c>
      <c r="D30" s="3" t="s">
        <v>664</v>
      </c>
      <c r="F30" s="65">
        <v>14.3</v>
      </c>
      <c r="G30" s="65">
        <v>14.3</v>
      </c>
      <c r="H30" s="65">
        <v>28.6</v>
      </c>
      <c r="I30" s="65">
        <v>14.3</v>
      </c>
      <c r="J30" s="65">
        <v>0</v>
      </c>
      <c r="K30" s="65">
        <v>14.3</v>
      </c>
      <c r="L30" s="65">
        <v>14.3</v>
      </c>
      <c r="M30" s="65">
        <v>14.3</v>
      </c>
      <c r="N30" s="65">
        <v>14.3</v>
      </c>
      <c r="O30" s="65">
        <v>14.3</v>
      </c>
      <c r="P30" s="65">
        <v>28.6</v>
      </c>
      <c r="Q30" s="65">
        <v>28.6</v>
      </c>
      <c r="R30" s="72">
        <f>(3/7)*100</f>
        <v>42.857142857142854</v>
      </c>
      <c r="S30" s="72">
        <f>(3/7)*100</f>
        <v>42.857142857142854</v>
      </c>
      <c r="T30" s="64">
        <v>7</v>
      </c>
    </row>
    <row r="31" spans="1:20">
      <c r="A31" s="3" t="s">
        <v>723</v>
      </c>
      <c r="B31" s="3" t="s">
        <v>724</v>
      </c>
      <c r="C31" s="3">
        <v>23</v>
      </c>
      <c r="D31" s="3" t="s">
        <v>541</v>
      </c>
      <c r="F31" s="65">
        <v>0</v>
      </c>
      <c r="G31" s="65">
        <v>0</v>
      </c>
      <c r="H31" s="65">
        <v>0</v>
      </c>
      <c r="I31" s="65">
        <v>0</v>
      </c>
      <c r="J31" s="65">
        <v>0</v>
      </c>
      <c r="K31" s="65">
        <v>0</v>
      </c>
      <c r="L31" s="65">
        <v>20</v>
      </c>
      <c r="M31" s="65">
        <v>40</v>
      </c>
      <c r="N31" s="65">
        <v>0</v>
      </c>
      <c r="O31" s="65">
        <v>20</v>
      </c>
      <c r="P31" s="65">
        <v>40</v>
      </c>
      <c r="Q31" s="65">
        <v>40</v>
      </c>
      <c r="R31" s="72">
        <f>(3/5)*100</f>
        <v>60</v>
      </c>
      <c r="S31" s="72">
        <f>(4/5)*100</f>
        <v>80</v>
      </c>
      <c r="T31" s="64">
        <v>5</v>
      </c>
    </row>
    <row r="32" spans="1:20">
      <c r="A32" s="3" t="s">
        <v>725</v>
      </c>
      <c r="B32" s="3" t="s">
        <v>726</v>
      </c>
      <c r="C32" s="3">
        <v>24</v>
      </c>
      <c r="D32" s="3" t="s">
        <v>664</v>
      </c>
      <c r="F32" s="65">
        <v>0</v>
      </c>
      <c r="G32" s="65">
        <v>0</v>
      </c>
      <c r="H32" s="65">
        <v>0</v>
      </c>
      <c r="I32" s="65">
        <v>0</v>
      </c>
      <c r="J32" s="65">
        <v>0</v>
      </c>
      <c r="K32" s="65">
        <v>11.1</v>
      </c>
      <c r="L32" s="65">
        <v>22.2</v>
      </c>
      <c r="M32" s="65">
        <v>11.1</v>
      </c>
      <c r="N32" s="65">
        <v>22.2</v>
      </c>
      <c r="O32" s="65">
        <v>22.2</v>
      </c>
      <c r="P32" s="65">
        <v>33.299999999999997</v>
      </c>
      <c r="Q32" s="65">
        <v>44.4</v>
      </c>
      <c r="R32" s="72">
        <f>(3/9)*100</f>
        <v>33.333333333333329</v>
      </c>
      <c r="S32" s="72">
        <f>(4/9)*100</f>
        <v>44.444444444444443</v>
      </c>
      <c r="T32" s="64">
        <v>9</v>
      </c>
    </row>
    <row r="33" spans="1:20">
      <c r="F33" s="65">
        <f t="shared" ref="F33:S33" si="0">STDEV(F9:F32)</f>
        <v>9.2814360067732018</v>
      </c>
      <c r="G33" s="65">
        <f t="shared" si="0"/>
        <v>8.6856161287632254</v>
      </c>
      <c r="H33" s="65">
        <f t="shared" si="0"/>
        <v>8.0322978014397908</v>
      </c>
      <c r="I33" s="65">
        <f t="shared" si="0"/>
        <v>7.8902618387514858</v>
      </c>
      <c r="J33" s="65">
        <f t="shared" si="0"/>
        <v>9.7400971634590583</v>
      </c>
      <c r="K33" s="65">
        <f t="shared" si="0"/>
        <v>10.589938313241531</v>
      </c>
      <c r="L33" s="65">
        <f t="shared" si="0"/>
        <v>12.480401302308616</v>
      </c>
      <c r="M33" s="65">
        <f t="shared" si="0"/>
        <v>13.801974233913917</v>
      </c>
      <c r="N33" s="65">
        <f t="shared" si="0"/>
        <v>14.978791165598405</v>
      </c>
      <c r="O33" s="65">
        <f t="shared" si="0"/>
        <v>11.249398534646392</v>
      </c>
      <c r="P33" s="65">
        <f t="shared" si="0"/>
        <v>14.571875208820892</v>
      </c>
      <c r="Q33" s="65">
        <f t="shared" si="0"/>
        <v>11.209156938653431</v>
      </c>
      <c r="R33" s="65">
        <f t="shared" si="0"/>
        <v>12.796972788432271</v>
      </c>
      <c r="S33" s="65">
        <f t="shared" si="0"/>
        <v>14.616997679474045</v>
      </c>
      <c r="T33" s="64"/>
    </row>
    <row r="34" spans="1:20">
      <c r="A34" s="3" t="s">
        <v>727</v>
      </c>
      <c r="F34" s="65">
        <v>4.3</v>
      </c>
      <c r="G34" s="65">
        <v>4.3</v>
      </c>
      <c r="H34" s="65">
        <v>4.7</v>
      </c>
      <c r="I34" s="65">
        <v>6.7</v>
      </c>
      <c r="J34" s="65">
        <v>5.4</v>
      </c>
      <c r="K34" s="65">
        <v>13.6</v>
      </c>
      <c r="L34" s="65">
        <v>27.2</v>
      </c>
      <c r="M34" s="65">
        <v>28.4</v>
      </c>
      <c r="N34" s="65">
        <v>27.2</v>
      </c>
      <c r="O34" s="65">
        <v>29.2</v>
      </c>
      <c r="P34" s="65">
        <v>33.9</v>
      </c>
      <c r="Q34" s="65">
        <v>35.799999999999997</v>
      </c>
      <c r="R34" s="65">
        <f>(103/256)*100</f>
        <v>40.234375</v>
      </c>
      <c r="S34" s="65">
        <f>(98/256)*100</f>
        <v>38.28125</v>
      </c>
      <c r="T34" s="64">
        <v>257</v>
      </c>
    </row>
    <row r="35" spans="1:20" ht="286">
      <c r="A35" s="7" t="s">
        <v>728</v>
      </c>
      <c r="B35" s="7"/>
      <c r="C35" s="7"/>
      <c r="D35" s="7"/>
      <c r="F35" s="1" t="s">
        <v>271</v>
      </c>
      <c r="G35" s="1" t="s">
        <v>271</v>
      </c>
      <c r="H35" s="1" t="s">
        <v>271</v>
      </c>
      <c r="I35" s="1" t="s">
        <v>271</v>
      </c>
      <c r="J35" s="1" t="s">
        <v>1506</v>
      </c>
      <c r="K35" s="1" t="s">
        <v>1628</v>
      </c>
      <c r="L35" s="1" t="s">
        <v>1506</v>
      </c>
      <c r="M35" s="1" t="s">
        <v>1506</v>
      </c>
      <c r="N35" s="1" t="s">
        <v>1506</v>
      </c>
      <c r="O35" s="1" t="s">
        <v>1506</v>
      </c>
      <c r="P35" s="1" t="s">
        <v>1506</v>
      </c>
      <c r="Q35" s="1" t="s">
        <v>1506</v>
      </c>
      <c r="R35" s="1" t="s">
        <v>1542</v>
      </c>
      <c r="S35" s="1" t="s">
        <v>3005</v>
      </c>
      <c r="T35" s="1" t="s">
        <v>1506</v>
      </c>
    </row>
    <row r="36" spans="1:20">
      <c r="A36" s="7"/>
      <c r="B36" s="7"/>
      <c r="C36" s="7"/>
      <c r="D36" s="7"/>
      <c r="F36" s="7"/>
      <c r="G36" s="7"/>
      <c r="H36" s="7"/>
      <c r="I36" s="7"/>
      <c r="J36" s="7"/>
      <c r="K36" s="7"/>
      <c r="L36" s="7"/>
      <c r="M36" s="7"/>
      <c r="N36" s="7"/>
      <c r="O36" s="7"/>
      <c r="P36" s="7"/>
      <c r="Q36" s="7"/>
      <c r="R36" s="7"/>
      <c r="S36" s="7"/>
      <c r="T36" s="7"/>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workbookViewId="0">
      <pane xSplit="12240" topLeftCell="CB1" activePane="topRight"/>
      <selection activeCell="A9" sqref="A9:A32"/>
      <selection pane="topRight" activeCell="CG9" sqref="CG9:CG32"/>
    </sheetView>
  </sheetViews>
  <sheetFormatPr baseColWidth="10" defaultRowHeight="13" x14ac:dyDescent="0"/>
  <cols>
    <col min="1" max="1" width="15.140625" style="3" customWidth="1"/>
    <col min="2" max="3" width="5.7109375" style="3" customWidth="1"/>
    <col min="4" max="4" width="10.7109375" style="3"/>
    <col min="5" max="92" width="10.7109375" style="6"/>
  </cols>
  <sheetData>
    <row r="1" spans="1:94">
      <c r="A1" s="137" t="s">
        <v>2404</v>
      </c>
    </row>
    <row r="2" spans="1:94">
      <c r="A2" s="1" t="s">
        <v>614</v>
      </c>
      <c r="B2" s="1"/>
      <c r="C2" s="1"/>
      <c r="D2" s="1"/>
      <c r="E2" s="20" t="s">
        <v>1967</v>
      </c>
      <c r="F2" s="20" t="s">
        <v>1967</v>
      </c>
      <c r="G2" s="20" t="s">
        <v>1967</v>
      </c>
      <c r="H2" s="20" t="s">
        <v>1967</v>
      </c>
      <c r="I2" s="20" t="s">
        <v>1967</v>
      </c>
      <c r="J2" s="20" t="s">
        <v>1967</v>
      </c>
      <c r="K2" s="20" t="s">
        <v>1967</v>
      </c>
      <c r="L2" s="20" t="s">
        <v>1967</v>
      </c>
      <c r="M2" s="20" t="s">
        <v>1967</v>
      </c>
      <c r="N2" s="20" t="s">
        <v>1967</v>
      </c>
      <c r="O2" s="20" t="s">
        <v>1967</v>
      </c>
      <c r="P2" s="20" t="s">
        <v>1967</v>
      </c>
      <c r="Q2" s="20" t="s">
        <v>1967</v>
      </c>
      <c r="R2" s="20" t="s">
        <v>1967</v>
      </c>
      <c r="S2" s="20" t="s">
        <v>1967</v>
      </c>
      <c r="T2" s="20" t="s">
        <v>1967</v>
      </c>
      <c r="U2" s="20" t="s">
        <v>1967</v>
      </c>
      <c r="V2" s="20" t="s">
        <v>1967</v>
      </c>
      <c r="W2" s="20" t="s">
        <v>1967</v>
      </c>
      <c r="X2" s="20" t="s">
        <v>1967</v>
      </c>
      <c r="Y2" s="20" t="s">
        <v>1967</v>
      </c>
      <c r="Z2" s="20" t="s">
        <v>1967</v>
      </c>
      <c r="AA2" s="20" t="s">
        <v>1967</v>
      </c>
      <c r="AB2" s="20" t="s">
        <v>1967</v>
      </c>
      <c r="AC2" s="20" t="s">
        <v>1967</v>
      </c>
      <c r="AD2" s="20" t="s">
        <v>1967</v>
      </c>
      <c r="AE2" s="20" t="s">
        <v>1967</v>
      </c>
      <c r="AF2" s="20" t="s">
        <v>1967</v>
      </c>
      <c r="AG2" s="20" t="s">
        <v>1967</v>
      </c>
      <c r="AH2" s="20" t="s">
        <v>1967</v>
      </c>
      <c r="AI2" s="20" t="s">
        <v>1967</v>
      </c>
      <c r="AJ2" s="20" t="s">
        <v>1967</v>
      </c>
      <c r="AK2" s="20" t="s">
        <v>1967</v>
      </c>
      <c r="AL2" s="20" t="s">
        <v>1967</v>
      </c>
      <c r="AM2" s="20" t="s">
        <v>1967</v>
      </c>
      <c r="AN2" s="20" t="s">
        <v>1967</v>
      </c>
      <c r="AO2" s="20" t="s">
        <v>1967</v>
      </c>
      <c r="AP2" s="20" t="s">
        <v>1967</v>
      </c>
      <c r="AQ2" s="20" t="s">
        <v>1967</v>
      </c>
      <c r="AR2" s="20" t="s">
        <v>1967</v>
      </c>
      <c r="AS2" s="20" t="s">
        <v>1967</v>
      </c>
      <c r="AT2" s="20" t="s">
        <v>1967</v>
      </c>
      <c r="AU2" s="20" t="s">
        <v>1967</v>
      </c>
      <c r="AV2" s="20" t="s">
        <v>1967</v>
      </c>
      <c r="AW2" s="20" t="s">
        <v>1967</v>
      </c>
      <c r="AX2" s="20" t="s">
        <v>1967</v>
      </c>
      <c r="AY2" s="20" t="s">
        <v>1967</v>
      </c>
      <c r="AZ2" s="20" t="s">
        <v>1967</v>
      </c>
      <c r="BA2" s="20" t="s">
        <v>1967</v>
      </c>
      <c r="BB2" s="20" t="s">
        <v>1967</v>
      </c>
      <c r="BC2" s="20" t="s">
        <v>1967</v>
      </c>
      <c r="BD2" s="20" t="s">
        <v>1967</v>
      </c>
      <c r="BE2" s="20" t="s">
        <v>1967</v>
      </c>
      <c r="BF2" s="20" t="s">
        <v>1967</v>
      </c>
      <c r="BG2" s="20" t="s">
        <v>1967</v>
      </c>
      <c r="BH2" s="20" t="s">
        <v>1967</v>
      </c>
      <c r="BI2" s="20" t="s">
        <v>1967</v>
      </c>
      <c r="BJ2" s="20" t="s">
        <v>1967</v>
      </c>
      <c r="BK2" s="20" t="s">
        <v>1967</v>
      </c>
      <c r="BL2" s="20" t="s">
        <v>1967</v>
      </c>
      <c r="BM2" s="20" t="s">
        <v>1967</v>
      </c>
      <c r="BN2" s="20" t="s">
        <v>1967</v>
      </c>
      <c r="BO2" s="20" t="s">
        <v>1967</v>
      </c>
      <c r="BP2" s="20" t="s">
        <v>1967</v>
      </c>
      <c r="BQ2" s="20" t="s">
        <v>1967</v>
      </c>
      <c r="BR2" s="20" t="s">
        <v>1967</v>
      </c>
      <c r="BS2" s="20" t="s">
        <v>1967</v>
      </c>
      <c r="BT2" s="20" t="s">
        <v>1967</v>
      </c>
      <c r="BU2" s="20" t="s">
        <v>1967</v>
      </c>
      <c r="BV2" s="20" t="s">
        <v>1967</v>
      </c>
      <c r="BW2" s="20" t="s">
        <v>1967</v>
      </c>
      <c r="BX2" s="20" t="s">
        <v>1967</v>
      </c>
      <c r="BY2" s="20" t="s">
        <v>1967</v>
      </c>
      <c r="BZ2" s="20" t="s">
        <v>1967</v>
      </c>
      <c r="CA2" s="20" t="s">
        <v>1967</v>
      </c>
      <c r="CB2" s="20" t="s">
        <v>1967</v>
      </c>
      <c r="CC2" s="20" t="s">
        <v>1967</v>
      </c>
      <c r="CD2" s="20" t="s">
        <v>1967</v>
      </c>
      <c r="CE2" s="20" t="s">
        <v>1967</v>
      </c>
      <c r="CF2" s="20" t="s">
        <v>1967</v>
      </c>
      <c r="CG2" s="20" t="s">
        <v>1967</v>
      </c>
      <c r="CH2" s="20" t="s">
        <v>1967</v>
      </c>
      <c r="CI2" s="20" t="s">
        <v>1967</v>
      </c>
      <c r="CJ2" s="20" t="s">
        <v>1967</v>
      </c>
      <c r="CK2" s="20" t="s">
        <v>1967</v>
      </c>
      <c r="CL2" s="20" t="s">
        <v>1967</v>
      </c>
      <c r="CM2" s="20" t="s">
        <v>1967</v>
      </c>
      <c r="CN2" s="20" t="s">
        <v>1967</v>
      </c>
      <c r="CO2" s="20" t="s">
        <v>1967</v>
      </c>
      <c r="CP2" s="20" t="s">
        <v>1967</v>
      </c>
    </row>
    <row r="3" spans="1:94">
      <c r="A3" s="1" t="s">
        <v>518</v>
      </c>
      <c r="B3" s="1"/>
      <c r="C3" s="1"/>
      <c r="D3" s="1"/>
      <c r="E3" s="20" t="s">
        <v>1786</v>
      </c>
      <c r="F3" s="20" t="s">
        <v>1786</v>
      </c>
      <c r="G3" s="20" t="s">
        <v>1786</v>
      </c>
      <c r="H3" s="20" t="s">
        <v>1786</v>
      </c>
      <c r="I3" s="20" t="s">
        <v>1786</v>
      </c>
      <c r="J3" s="20" t="s">
        <v>1786</v>
      </c>
      <c r="K3" s="20" t="s">
        <v>1786</v>
      </c>
      <c r="L3" s="20" t="s">
        <v>1786</v>
      </c>
      <c r="M3" s="20" t="s">
        <v>1786</v>
      </c>
      <c r="N3" s="20" t="s">
        <v>1786</v>
      </c>
      <c r="O3" s="20" t="s">
        <v>1786</v>
      </c>
      <c r="P3" s="20" t="s">
        <v>1786</v>
      </c>
      <c r="Q3" s="20" t="s">
        <v>1786</v>
      </c>
      <c r="R3" s="20" t="s">
        <v>1786</v>
      </c>
      <c r="S3" s="20" t="s">
        <v>1786</v>
      </c>
      <c r="T3" s="20" t="s">
        <v>1786</v>
      </c>
      <c r="U3" s="20" t="s">
        <v>1786</v>
      </c>
      <c r="V3" s="20" t="s">
        <v>1786</v>
      </c>
      <c r="W3" s="20" t="s">
        <v>1786</v>
      </c>
      <c r="X3" s="20" t="s">
        <v>1786</v>
      </c>
      <c r="Y3" s="20" t="s">
        <v>1786</v>
      </c>
      <c r="Z3" s="20" t="s">
        <v>1786</v>
      </c>
      <c r="AA3" s="20" t="s">
        <v>1786</v>
      </c>
      <c r="AB3" s="20" t="s">
        <v>1786</v>
      </c>
      <c r="AC3" s="20" t="s">
        <v>1786</v>
      </c>
      <c r="AD3" s="20" t="s">
        <v>1786</v>
      </c>
      <c r="AE3" s="20" t="s">
        <v>1786</v>
      </c>
      <c r="AF3" s="20" t="s">
        <v>1786</v>
      </c>
      <c r="AG3" s="20" t="s">
        <v>1786</v>
      </c>
      <c r="AH3" s="20" t="s">
        <v>1786</v>
      </c>
      <c r="AI3" s="20" t="s">
        <v>1786</v>
      </c>
      <c r="AJ3" s="20" t="s">
        <v>1786</v>
      </c>
      <c r="AK3" s="20" t="s">
        <v>1786</v>
      </c>
      <c r="AL3" s="20" t="s">
        <v>1786</v>
      </c>
      <c r="AM3" s="20" t="s">
        <v>1786</v>
      </c>
      <c r="AN3" s="20" t="s">
        <v>1786</v>
      </c>
      <c r="AO3" s="20" t="s">
        <v>1786</v>
      </c>
      <c r="AP3" s="20" t="s">
        <v>1786</v>
      </c>
      <c r="AQ3" s="20" t="s">
        <v>1786</v>
      </c>
      <c r="AR3" s="20" t="s">
        <v>1786</v>
      </c>
      <c r="AS3" s="20" t="s">
        <v>1786</v>
      </c>
      <c r="AT3" s="20" t="s">
        <v>1786</v>
      </c>
      <c r="AU3" s="20" t="s">
        <v>1786</v>
      </c>
      <c r="AV3" s="20" t="s">
        <v>1786</v>
      </c>
      <c r="AW3" s="20" t="s">
        <v>1786</v>
      </c>
      <c r="AX3" s="20" t="s">
        <v>1786</v>
      </c>
      <c r="AY3" s="20" t="s">
        <v>1786</v>
      </c>
      <c r="AZ3" s="20" t="s">
        <v>1786</v>
      </c>
      <c r="BA3" s="20" t="s">
        <v>1786</v>
      </c>
      <c r="BB3" s="20" t="s">
        <v>1786</v>
      </c>
      <c r="BC3" s="20" t="s">
        <v>1786</v>
      </c>
      <c r="BD3" s="20" t="s">
        <v>1786</v>
      </c>
      <c r="BE3" s="20" t="s">
        <v>1786</v>
      </c>
      <c r="BF3" s="20" t="s">
        <v>1786</v>
      </c>
      <c r="BG3" s="20" t="s">
        <v>1786</v>
      </c>
      <c r="BH3" s="20" t="s">
        <v>1786</v>
      </c>
      <c r="BI3" s="20" t="s">
        <v>1786</v>
      </c>
      <c r="BJ3" s="20" t="s">
        <v>1786</v>
      </c>
      <c r="BK3" s="20" t="s">
        <v>1786</v>
      </c>
      <c r="BL3" s="20" t="s">
        <v>1786</v>
      </c>
      <c r="BM3" s="20" t="s">
        <v>1786</v>
      </c>
      <c r="BN3" s="20" t="s">
        <v>1786</v>
      </c>
      <c r="BO3" s="20" t="s">
        <v>1786</v>
      </c>
      <c r="BP3" s="20" t="s">
        <v>1786</v>
      </c>
      <c r="BQ3" s="20" t="s">
        <v>1786</v>
      </c>
      <c r="BR3" s="20" t="s">
        <v>1786</v>
      </c>
      <c r="BS3" s="20" t="s">
        <v>1786</v>
      </c>
      <c r="BT3" s="20" t="s">
        <v>1786</v>
      </c>
      <c r="BU3" s="20" t="s">
        <v>1786</v>
      </c>
      <c r="BV3" s="20" t="s">
        <v>1786</v>
      </c>
      <c r="BW3" s="20" t="s">
        <v>1786</v>
      </c>
      <c r="BX3" s="20" t="s">
        <v>1786</v>
      </c>
      <c r="BY3" s="20" t="s">
        <v>1786</v>
      </c>
      <c r="BZ3" s="20" t="s">
        <v>1786</v>
      </c>
      <c r="CA3" s="20" t="s">
        <v>1786</v>
      </c>
      <c r="CB3" s="20" t="s">
        <v>1786</v>
      </c>
      <c r="CC3" s="20" t="s">
        <v>1786</v>
      </c>
      <c r="CD3" s="20" t="s">
        <v>1786</v>
      </c>
      <c r="CE3" s="20" t="s">
        <v>1786</v>
      </c>
      <c r="CF3" s="20" t="s">
        <v>1786</v>
      </c>
      <c r="CG3" s="20" t="s">
        <v>1786</v>
      </c>
      <c r="CH3" s="20" t="s">
        <v>1786</v>
      </c>
      <c r="CI3" s="20" t="s">
        <v>1786</v>
      </c>
      <c r="CJ3" s="20" t="s">
        <v>1786</v>
      </c>
      <c r="CK3" s="20" t="s">
        <v>1786</v>
      </c>
      <c r="CL3" s="20" t="s">
        <v>1786</v>
      </c>
      <c r="CM3" s="20" t="s">
        <v>1786</v>
      </c>
      <c r="CN3" s="20" t="s">
        <v>1786</v>
      </c>
      <c r="CO3" s="20" t="s">
        <v>1786</v>
      </c>
      <c r="CP3" s="20" t="s">
        <v>1786</v>
      </c>
    </row>
    <row r="4" spans="1:94">
      <c r="A4" s="1" t="s">
        <v>736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1:94">
      <c r="A5" s="1" t="s">
        <v>737</v>
      </c>
      <c r="B5" s="1"/>
      <c r="C5" s="1"/>
      <c r="D5" s="1"/>
      <c r="E5" s="1" t="s">
        <v>1787</v>
      </c>
      <c r="F5" s="1" t="s">
        <v>1787</v>
      </c>
      <c r="G5" s="1" t="s">
        <v>1787</v>
      </c>
      <c r="H5" s="1" t="s">
        <v>1787</v>
      </c>
      <c r="I5" s="1" t="s">
        <v>1787</v>
      </c>
      <c r="J5" s="1" t="s">
        <v>1787</v>
      </c>
      <c r="K5" s="1" t="s">
        <v>1787</v>
      </c>
      <c r="L5" s="1" t="s">
        <v>1787</v>
      </c>
      <c r="M5" s="1" t="s">
        <v>1787</v>
      </c>
      <c r="N5" s="1" t="s">
        <v>1787</v>
      </c>
      <c r="O5" s="1" t="s">
        <v>1787</v>
      </c>
      <c r="P5" s="1" t="s">
        <v>1787</v>
      </c>
      <c r="Q5" s="1" t="s">
        <v>1787</v>
      </c>
      <c r="R5" s="1" t="s">
        <v>1787</v>
      </c>
      <c r="S5" s="1" t="s">
        <v>1787</v>
      </c>
      <c r="T5" s="1" t="s">
        <v>1787</v>
      </c>
      <c r="U5" s="1" t="s">
        <v>1787</v>
      </c>
      <c r="V5" s="1" t="s">
        <v>1787</v>
      </c>
      <c r="W5" s="1" t="s">
        <v>1787</v>
      </c>
      <c r="X5" s="1" t="s">
        <v>1787</v>
      </c>
      <c r="Y5" s="1" t="s">
        <v>1787</v>
      </c>
      <c r="Z5" s="1" t="s">
        <v>1787</v>
      </c>
      <c r="AA5" s="1" t="s">
        <v>1787</v>
      </c>
      <c r="AB5" s="1" t="s">
        <v>1787</v>
      </c>
      <c r="AC5" s="1" t="s">
        <v>1787</v>
      </c>
      <c r="AD5" s="1" t="s">
        <v>1787</v>
      </c>
      <c r="AE5" s="1" t="s">
        <v>1787</v>
      </c>
      <c r="AF5" s="1" t="s">
        <v>1787</v>
      </c>
      <c r="AG5" s="1" t="s">
        <v>1787</v>
      </c>
      <c r="AH5" s="1" t="s">
        <v>1787</v>
      </c>
      <c r="AI5" s="1" t="s">
        <v>1787</v>
      </c>
      <c r="AJ5" s="1" t="s">
        <v>1787</v>
      </c>
      <c r="AK5" s="1" t="s">
        <v>1787</v>
      </c>
      <c r="AL5" s="1" t="s">
        <v>1787</v>
      </c>
      <c r="AM5" s="1" t="s">
        <v>1787</v>
      </c>
      <c r="AN5" s="1" t="s">
        <v>1787</v>
      </c>
      <c r="AO5" s="1" t="s">
        <v>1787</v>
      </c>
      <c r="AP5" s="1" t="s">
        <v>1787</v>
      </c>
      <c r="AQ5" s="1" t="s">
        <v>1787</v>
      </c>
      <c r="AR5" s="1" t="s">
        <v>1787</v>
      </c>
      <c r="AS5" s="1" t="s">
        <v>1787</v>
      </c>
      <c r="AT5" s="1" t="s">
        <v>1787</v>
      </c>
      <c r="AU5" s="1" t="s">
        <v>1787</v>
      </c>
      <c r="AV5" s="1" t="s">
        <v>1787</v>
      </c>
      <c r="AW5" s="1" t="s">
        <v>1787</v>
      </c>
      <c r="AX5" s="1" t="s">
        <v>1787</v>
      </c>
      <c r="AY5" s="1" t="s">
        <v>1787</v>
      </c>
      <c r="AZ5" s="1" t="s">
        <v>1787</v>
      </c>
      <c r="BA5" s="1" t="s">
        <v>1787</v>
      </c>
      <c r="BB5" s="1" t="s">
        <v>1787</v>
      </c>
      <c r="BC5" s="1" t="s">
        <v>1787</v>
      </c>
      <c r="BD5" s="1" t="s">
        <v>1787</v>
      </c>
      <c r="BE5" s="1" t="s">
        <v>1787</v>
      </c>
      <c r="BF5" s="1" t="s">
        <v>1787</v>
      </c>
      <c r="BG5" s="1" t="s">
        <v>1787</v>
      </c>
      <c r="BH5" s="1" t="s">
        <v>1787</v>
      </c>
      <c r="BI5" s="1" t="s">
        <v>1787</v>
      </c>
      <c r="BJ5" s="1" t="s">
        <v>1787</v>
      </c>
      <c r="BK5" s="1" t="s">
        <v>1787</v>
      </c>
      <c r="BL5" s="1" t="s">
        <v>1787</v>
      </c>
      <c r="BM5" s="1" t="s">
        <v>1787</v>
      </c>
      <c r="BN5" s="1" t="s">
        <v>1787</v>
      </c>
      <c r="BO5" s="1" t="s">
        <v>1787</v>
      </c>
      <c r="BP5" s="1" t="s">
        <v>1787</v>
      </c>
      <c r="BQ5" s="1" t="s">
        <v>1787</v>
      </c>
      <c r="BR5" s="1" t="s">
        <v>1787</v>
      </c>
      <c r="BS5" s="1" t="s">
        <v>1787</v>
      </c>
      <c r="BT5" s="1" t="s">
        <v>1787</v>
      </c>
      <c r="BU5" s="1" t="s">
        <v>1787</v>
      </c>
      <c r="BV5" s="1" t="s">
        <v>1787</v>
      </c>
      <c r="BW5" s="1" t="s">
        <v>1787</v>
      </c>
      <c r="BX5" s="1" t="s">
        <v>1787</v>
      </c>
      <c r="BY5" s="1" t="s">
        <v>1787</v>
      </c>
      <c r="BZ5" s="1" t="s">
        <v>1787</v>
      </c>
      <c r="CA5" s="1" t="s">
        <v>1787</v>
      </c>
      <c r="CB5" s="1" t="s">
        <v>1787</v>
      </c>
      <c r="CC5" s="1" t="s">
        <v>1787</v>
      </c>
      <c r="CD5" s="1" t="s">
        <v>1787</v>
      </c>
      <c r="CE5" s="1" t="s">
        <v>1787</v>
      </c>
      <c r="CF5" s="1" t="s">
        <v>1787</v>
      </c>
      <c r="CG5" s="1" t="s">
        <v>1787</v>
      </c>
      <c r="CH5" s="1" t="s">
        <v>1787</v>
      </c>
      <c r="CI5" s="1" t="s">
        <v>1787</v>
      </c>
      <c r="CJ5" s="1" t="s">
        <v>1787</v>
      </c>
      <c r="CK5" s="1" t="s">
        <v>1787</v>
      </c>
      <c r="CL5" s="1" t="s">
        <v>1787</v>
      </c>
      <c r="CM5" s="1" t="s">
        <v>1787</v>
      </c>
      <c r="CN5" s="1" t="s">
        <v>1787</v>
      </c>
      <c r="CO5" s="1" t="s">
        <v>1787</v>
      </c>
      <c r="CP5" s="1" t="s">
        <v>1787</v>
      </c>
    </row>
    <row r="6" spans="1:94">
      <c r="A6" s="42" t="s">
        <v>560</v>
      </c>
      <c r="B6" s="42"/>
      <c r="C6" s="42"/>
      <c r="D6" s="42"/>
      <c r="E6" s="33" t="s">
        <v>1775</v>
      </c>
      <c r="F6" s="33" t="s">
        <v>1776</v>
      </c>
      <c r="G6" s="33" t="s">
        <v>1777</v>
      </c>
      <c r="H6" s="33" t="s">
        <v>1778</v>
      </c>
      <c r="I6" s="33" t="s">
        <v>1779</v>
      </c>
      <c r="J6" s="33" t="s">
        <v>1780</v>
      </c>
      <c r="K6" s="71">
        <v>1976</v>
      </c>
      <c r="L6" s="71">
        <v>1977</v>
      </c>
      <c r="M6" s="71">
        <v>1978</v>
      </c>
      <c r="N6" s="71">
        <v>1979</v>
      </c>
      <c r="O6" s="71">
        <v>1980</v>
      </c>
      <c r="P6" s="71">
        <v>1981</v>
      </c>
      <c r="Q6" s="71">
        <v>1982</v>
      </c>
      <c r="R6" s="71">
        <v>1983</v>
      </c>
      <c r="S6" s="71">
        <v>1984</v>
      </c>
      <c r="T6" s="71">
        <v>1985</v>
      </c>
      <c r="U6" s="71">
        <v>1986</v>
      </c>
      <c r="V6" s="71">
        <v>1987</v>
      </c>
      <c r="W6" s="71">
        <v>1988</v>
      </c>
      <c r="X6" s="71">
        <v>1989</v>
      </c>
      <c r="Y6" s="71">
        <v>1990</v>
      </c>
      <c r="Z6" s="71">
        <v>1991</v>
      </c>
      <c r="AA6" s="71">
        <v>1992</v>
      </c>
      <c r="AB6" s="71">
        <v>1993</v>
      </c>
      <c r="AC6" s="71">
        <v>1994</v>
      </c>
      <c r="AD6" s="71">
        <v>1995</v>
      </c>
      <c r="AE6" s="71">
        <v>1996</v>
      </c>
      <c r="AF6" s="71">
        <v>1997</v>
      </c>
      <c r="AG6" s="71">
        <v>1998</v>
      </c>
      <c r="AH6" s="71">
        <v>1999</v>
      </c>
      <c r="AI6" s="71">
        <v>2000</v>
      </c>
      <c r="AJ6" s="71">
        <v>2001</v>
      </c>
      <c r="AK6" s="71">
        <v>2002</v>
      </c>
      <c r="AL6" s="71">
        <v>2003</v>
      </c>
      <c r="AM6" s="71">
        <v>2004</v>
      </c>
      <c r="AN6" s="33" t="s">
        <v>1781</v>
      </c>
      <c r="AO6" s="33" t="s">
        <v>1782</v>
      </c>
      <c r="AP6" s="33" t="s">
        <v>1783</v>
      </c>
      <c r="AQ6" s="33" t="s">
        <v>1784</v>
      </c>
      <c r="AR6" s="33" t="s">
        <v>1785</v>
      </c>
      <c r="AS6" s="33" t="s">
        <v>1826</v>
      </c>
      <c r="AT6" s="33" t="s">
        <v>1812</v>
      </c>
      <c r="AU6" s="33" t="s">
        <v>1869</v>
      </c>
      <c r="AV6" s="33" t="s">
        <v>1927</v>
      </c>
      <c r="AW6" s="33" t="s">
        <v>3348</v>
      </c>
      <c r="AX6" s="33" t="s">
        <v>1775</v>
      </c>
      <c r="AY6" s="33" t="s">
        <v>1776</v>
      </c>
      <c r="AZ6" s="33" t="s">
        <v>1777</v>
      </c>
      <c r="BA6" s="33" t="s">
        <v>1778</v>
      </c>
      <c r="BB6" s="33" t="s">
        <v>1779</v>
      </c>
      <c r="BC6" s="33" t="s">
        <v>1780</v>
      </c>
      <c r="BD6" s="71">
        <v>1976</v>
      </c>
      <c r="BE6" s="71">
        <v>1977</v>
      </c>
      <c r="BF6" s="71">
        <v>1978</v>
      </c>
      <c r="BG6" s="71">
        <v>1979</v>
      </c>
      <c r="BH6" s="71">
        <v>1980</v>
      </c>
      <c r="BI6" s="71">
        <v>1981</v>
      </c>
      <c r="BJ6" s="71">
        <v>1982</v>
      </c>
      <c r="BK6" s="71">
        <v>1983</v>
      </c>
      <c r="BL6" s="71">
        <v>1984</v>
      </c>
      <c r="BM6" s="71">
        <v>1985</v>
      </c>
      <c r="BN6" s="71">
        <v>1986</v>
      </c>
      <c r="BO6" s="71">
        <v>1987</v>
      </c>
      <c r="BP6" s="71">
        <v>1988</v>
      </c>
      <c r="BQ6" s="71">
        <v>1989</v>
      </c>
      <c r="BR6" s="71">
        <v>1990</v>
      </c>
      <c r="BS6" s="71">
        <v>1991</v>
      </c>
      <c r="BT6" s="71">
        <v>1992</v>
      </c>
      <c r="BU6" s="71">
        <v>1993</v>
      </c>
      <c r="BV6" s="71">
        <v>1994</v>
      </c>
      <c r="BW6" s="71">
        <v>1995</v>
      </c>
      <c r="BX6" s="71">
        <v>1996</v>
      </c>
      <c r="BY6" s="71">
        <v>1997</v>
      </c>
      <c r="BZ6" s="71">
        <v>1998</v>
      </c>
      <c r="CA6" s="71">
        <v>1999</v>
      </c>
      <c r="CB6" s="71">
        <v>2000</v>
      </c>
      <c r="CC6" s="71">
        <v>2001</v>
      </c>
      <c r="CD6" s="71">
        <v>2002</v>
      </c>
      <c r="CE6" s="71">
        <v>2003</v>
      </c>
      <c r="CF6" s="71">
        <v>2004</v>
      </c>
      <c r="CG6" s="33" t="s">
        <v>1781</v>
      </c>
      <c r="CH6" s="33" t="s">
        <v>1782</v>
      </c>
      <c r="CI6" s="33" t="s">
        <v>1783</v>
      </c>
      <c r="CJ6" s="33" t="s">
        <v>1784</v>
      </c>
      <c r="CK6" s="33" t="s">
        <v>1785</v>
      </c>
      <c r="CL6" s="33" t="s">
        <v>1826</v>
      </c>
      <c r="CM6" s="33" t="s">
        <v>1812</v>
      </c>
      <c r="CN6" s="33" t="s">
        <v>1869</v>
      </c>
      <c r="CO6" s="33" t="s">
        <v>1927</v>
      </c>
      <c r="CP6" s="33" t="s">
        <v>3348</v>
      </c>
    </row>
    <row r="7" spans="1:94" ht="77">
      <c r="A7" s="7" t="s">
        <v>3334</v>
      </c>
      <c r="B7" s="1"/>
      <c r="C7" s="1"/>
      <c r="D7" s="1"/>
      <c r="E7" s="15" t="s">
        <v>2562</v>
      </c>
      <c r="F7" s="15" t="s">
        <v>1642</v>
      </c>
      <c r="G7" s="15" t="s">
        <v>1643</v>
      </c>
      <c r="H7" s="15" t="s">
        <v>1644</v>
      </c>
      <c r="I7" s="15" t="s">
        <v>1645</v>
      </c>
      <c r="J7" s="15" t="s">
        <v>1589</v>
      </c>
      <c r="K7" s="15" t="s">
        <v>1590</v>
      </c>
      <c r="L7" s="15" t="s">
        <v>1773</v>
      </c>
      <c r="M7" s="15" t="s">
        <v>1764</v>
      </c>
      <c r="N7" s="15" t="s">
        <v>1693</v>
      </c>
      <c r="O7" s="20" t="s">
        <v>1627</v>
      </c>
      <c r="P7" s="20" t="s">
        <v>1758</v>
      </c>
      <c r="Q7" s="20" t="s">
        <v>1759</v>
      </c>
      <c r="R7" s="20" t="s">
        <v>1760</v>
      </c>
      <c r="S7" s="20" t="s">
        <v>1761</v>
      </c>
      <c r="T7" s="20" t="s">
        <v>1762</v>
      </c>
      <c r="U7" s="20" t="s">
        <v>1763</v>
      </c>
      <c r="V7" s="20" t="s">
        <v>1770</v>
      </c>
      <c r="W7" s="20" t="s">
        <v>1771</v>
      </c>
      <c r="X7" s="20" t="s">
        <v>1772</v>
      </c>
      <c r="Y7" s="20" t="s">
        <v>1737</v>
      </c>
      <c r="Z7" s="20" t="s">
        <v>1738</v>
      </c>
      <c r="AA7" s="20" t="s">
        <v>1734</v>
      </c>
      <c r="AB7" s="20" t="s">
        <v>1735</v>
      </c>
      <c r="AC7" s="20" t="s">
        <v>1660</v>
      </c>
      <c r="AD7" s="20" t="s">
        <v>1661</v>
      </c>
      <c r="AE7" s="20" t="s">
        <v>1662</v>
      </c>
      <c r="AF7" s="20" t="s">
        <v>1663</v>
      </c>
      <c r="AG7" s="20" t="s">
        <v>1664</v>
      </c>
      <c r="AH7" s="20" t="s">
        <v>1665</v>
      </c>
      <c r="AI7" s="20" t="s">
        <v>1755</v>
      </c>
      <c r="AJ7" s="20" t="s">
        <v>1756</v>
      </c>
      <c r="AK7" s="20" t="s">
        <v>1646</v>
      </c>
      <c r="AL7" s="20" t="s">
        <v>1739</v>
      </c>
      <c r="AM7" s="20" t="s">
        <v>1740</v>
      </c>
      <c r="AN7" s="20" t="s">
        <v>1741</v>
      </c>
      <c r="AO7" s="20" t="s">
        <v>1742</v>
      </c>
      <c r="AP7" s="20" t="s">
        <v>1743</v>
      </c>
      <c r="AQ7" s="20" t="s">
        <v>1654</v>
      </c>
      <c r="AR7" s="20" t="s">
        <v>1736</v>
      </c>
      <c r="AS7" s="20" t="s">
        <v>1863</v>
      </c>
      <c r="AT7" s="20" t="s">
        <v>1864</v>
      </c>
      <c r="AU7" s="20" t="s">
        <v>1965</v>
      </c>
      <c r="AV7" s="20" t="s">
        <v>3357</v>
      </c>
      <c r="AW7" s="20" t="s">
        <v>3358</v>
      </c>
      <c r="AX7" s="15" t="s">
        <v>2565</v>
      </c>
      <c r="AY7" s="15" t="s">
        <v>210</v>
      </c>
      <c r="AZ7" s="15" t="s">
        <v>143</v>
      </c>
      <c r="BA7" s="15" t="s">
        <v>144</v>
      </c>
      <c r="BB7" s="15" t="s">
        <v>145</v>
      </c>
      <c r="BC7" s="15" t="s">
        <v>111</v>
      </c>
      <c r="BD7" s="15" t="s">
        <v>112</v>
      </c>
      <c r="BE7" s="15" t="s">
        <v>113</v>
      </c>
      <c r="BF7" s="15" t="s">
        <v>114</v>
      </c>
      <c r="BG7" s="15" t="s">
        <v>223</v>
      </c>
      <c r="BH7" s="20" t="s">
        <v>224</v>
      </c>
      <c r="BI7" s="20" t="s">
        <v>225</v>
      </c>
      <c r="BJ7" s="20" t="s">
        <v>123</v>
      </c>
      <c r="BK7" s="20" t="s">
        <v>124</v>
      </c>
      <c r="BL7" s="20" t="s">
        <v>99</v>
      </c>
      <c r="BM7" s="20" t="s">
        <v>100</v>
      </c>
      <c r="BN7" s="20" t="s">
        <v>101</v>
      </c>
      <c r="BO7" s="20" t="s">
        <v>102</v>
      </c>
      <c r="BP7" s="20" t="s">
        <v>200</v>
      </c>
      <c r="BQ7" s="20" t="s">
        <v>201</v>
      </c>
      <c r="BR7" s="20" t="s">
        <v>190</v>
      </c>
      <c r="BS7" s="20" t="s">
        <v>125</v>
      </c>
      <c r="BT7" s="20" t="s">
        <v>126</v>
      </c>
      <c r="BU7" s="20" t="s">
        <v>273</v>
      </c>
      <c r="BV7" s="20" t="s">
        <v>127</v>
      </c>
      <c r="BW7" s="20" t="s">
        <v>128</v>
      </c>
      <c r="BX7" s="20" t="s">
        <v>202</v>
      </c>
      <c r="BY7" s="20" t="s">
        <v>148</v>
      </c>
      <c r="BZ7" s="20" t="s">
        <v>149</v>
      </c>
      <c r="CA7" s="20" t="s">
        <v>150</v>
      </c>
      <c r="CB7" s="20" t="s">
        <v>151</v>
      </c>
      <c r="CC7" s="20" t="s">
        <v>152</v>
      </c>
      <c r="CD7" s="20" t="s">
        <v>153</v>
      </c>
      <c r="CE7" s="20" t="s">
        <v>154</v>
      </c>
      <c r="CF7" s="20" t="s">
        <v>155</v>
      </c>
      <c r="CG7" s="20" t="s">
        <v>206</v>
      </c>
      <c r="CH7" s="20" t="s">
        <v>207</v>
      </c>
      <c r="CI7" s="20" t="s">
        <v>208</v>
      </c>
      <c r="CJ7" s="20" t="s">
        <v>243</v>
      </c>
      <c r="CK7" s="20" t="s">
        <v>209</v>
      </c>
      <c r="CL7" s="20" t="s">
        <v>1873</v>
      </c>
      <c r="CM7" s="20" t="s">
        <v>1874</v>
      </c>
      <c r="CN7" s="20" t="s">
        <v>1972</v>
      </c>
      <c r="CO7" s="20" t="s">
        <v>3373</v>
      </c>
      <c r="CP7" s="20" t="s">
        <v>3374</v>
      </c>
    </row>
    <row r="8" spans="1:94">
      <c r="A8" s="9" t="s">
        <v>572</v>
      </c>
      <c r="B8" s="9" t="s">
        <v>770</v>
      </c>
      <c r="C8" s="9" t="s">
        <v>771</v>
      </c>
      <c r="D8" s="9" t="s">
        <v>772</v>
      </c>
      <c r="E8" s="9" t="s">
        <v>1721</v>
      </c>
      <c r="F8" s="9" t="s">
        <v>1722</v>
      </c>
      <c r="G8" s="9" t="s">
        <v>1723</v>
      </c>
      <c r="H8" s="9" t="s">
        <v>1724</v>
      </c>
      <c r="I8" s="9" t="s">
        <v>1725</v>
      </c>
      <c r="J8" s="9" t="s">
        <v>1726</v>
      </c>
      <c r="K8" s="9" t="s">
        <v>1727</v>
      </c>
      <c r="L8" s="9" t="s">
        <v>1728</v>
      </c>
      <c r="M8" s="9" t="s">
        <v>1729</v>
      </c>
      <c r="N8" s="9" t="s">
        <v>1730</v>
      </c>
      <c r="O8" s="9" t="s">
        <v>1720</v>
      </c>
      <c r="P8" s="9" t="s">
        <v>1694</v>
      </c>
      <c r="Q8" s="9" t="s">
        <v>1695</v>
      </c>
      <c r="R8" s="9" t="s">
        <v>1696</v>
      </c>
      <c r="S8" s="9" t="s">
        <v>1697</v>
      </c>
      <c r="T8" s="9" t="s">
        <v>1698</v>
      </c>
      <c r="U8" s="9" t="s">
        <v>1699</v>
      </c>
      <c r="V8" s="9" t="s">
        <v>1700</v>
      </c>
      <c r="W8" s="9" t="s">
        <v>1701</v>
      </c>
      <c r="X8" s="9" t="s">
        <v>1702</v>
      </c>
      <c r="Y8" s="9" t="s">
        <v>1580</v>
      </c>
      <c r="Z8" s="9" t="s">
        <v>1581</v>
      </c>
      <c r="AA8" s="9" t="s">
        <v>1582</v>
      </c>
      <c r="AB8" s="9" t="s">
        <v>1703</v>
      </c>
      <c r="AC8" s="9" t="s">
        <v>1704</v>
      </c>
      <c r="AD8" s="9" t="s">
        <v>1705</v>
      </c>
      <c r="AE8" s="9" t="s">
        <v>1706</v>
      </c>
      <c r="AF8" s="9" t="s">
        <v>1707</v>
      </c>
      <c r="AG8" s="9" t="s">
        <v>1708</v>
      </c>
      <c r="AH8" s="9" t="s">
        <v>1709</v>
      </c>
      <c r="AI8" s="9" t="s">
        <v>1710</v>
      </c>
      <c r="AJ8" s="9" t="s">
        <v>1711</v>
      </c>
      <c r="AK8" s="9" t="s">
        <v>1712</v>
      </c>
      <c r="AL8" s="9" t="s">
        <v>1713</v>
      </c>
      <c r="AM8" s="9" t="s">
        <v>1714</v>
      </c>
      <c r="AN8" s="9" t="s">
        <v>1715</v>
      </c>
      <c r="AO8" s="9" t="s">
        <v>1716</v>
      </c>
      <c r="AP8" s="9" t="s">
        <v>1717</v>
      </c>
      <c r="AQ8" s="9" t="s">
        <v>1718</v>
      </c>
      <c r="AR8" s="9" t="s">
        <v>1719</v>
      </c>
      <c r="AS8" s="9" t="s">
        <v>1861</v>
      </c>
      <c r="AT8" s="9" t="s">
        <v>1862</v>
      </c>
      <c r="AU8" s="9" t="s">
        <v>1964</v>
      </c>
      <c r="AV8" s="9" t="s">
        <v>3359</v>
      </c>
      <c r="AW8" s="9" t="s">
        <v>3360</v>
      </c>
      <c r="AX8" s="9" t="s">
        <v>1754</v>
      </c>
      <c r="AY8" s="9" t="s">
        <v>1767</v>
      </c>
      <c r="AZ8" s="9" t="s">
        <v>1768</v>
      </c>
      <c r="BA8" s="9" t="s">
        <v>1769</v>
      </c>
      <c r="BB8" s="9" t="s">
        <v>1602</v>
      </c>
      <c r="BC8" s="9" t="s">
        <v>1603</v>
      </c>
      <c r="BD8" s="9" t="s">
        <v>1604</v>
      </c>
      <c r="BE8" s="9" t="s">
        <v>1605</v>
      </c>
      <c r="BF8" s="9" t="s">
        <v>1606</v>
      </c>
      <c r="BG8" s="9" t="s">
        <v>1607</v>
      </c>
      <c r="BH8" s="9" t="s">
        <v>1608</v>
      </c>
      <c r="BI8" s="9" t="s">
        <v>1609</v>
      </c>
      <c r="BJ8" s="9" t="s">
        <v>1610</v>
      </c>
      <c r="BK8" s="9" t="s">
        <v>1611</v>
      </c>
      <c r="BL8" s="9" t="s">
        <v>1612</v>
      </c>
      <c r="BM8" s="9" t="s">
        <v>1613</v>
      </c>
      <c r="BN8" s="9" t="s">
        <v>1614</v>
      </c>
      <c r="BO8" s="9" t="s">
        <v>1615</v>
      </c>
      <c r="BP8" s="9" t="s">
        <v>1616</v>
      </c>
      <c r="BQ8" s="9" t="s">
        <v>1617</v>
      </c>
      <c r="BR8" s="9" t="s">
        <v>1618</v>
      </c>
      <c r="BS8" s="9" t="s">
        <v>1619</v>
      </c>
      <c r="BT8" s="9" t="s">
        <v>1620</v>
      </c>
      <c r="BU8" s="9" t="s">
        <v>1621</v>
      </c>
      <c r="BV8" s="9" t="s">
        <v>1622</v>
      </c>
      <c r="BW8" s="9" t="s">
        <v>1623</v>
      </c>
      <c r="BX8" s="9" t="s">
        <v>1624</v>
      </c>
      <c r="BY8" s="9" t="s">
        <v>1625</v>
      </c>
      <c r="BZ8" s="9" t="s">
        <v>1626</v>
      </c>
      <c r="CA8" s="9" t="s">
        <v>1647</v>
      </c>
      <c r="CB8" s="9" t="s">
        <v>1648</v>
      </c>
      <c r="CC8" s="9" t="s">
        <v>1649</v>
      </c>
      <c r="CD8" s="9" t="s">
        <v>1650</v>
      </c>
      <c r="CE8" s="9" t="s">
        <v>1651</v>
      </c>
      <c r="CF8" s="9" t="s">
        <v>1652</v>
      </c>
      <c r="CG8" s="9" t="s">
        <v>1653</v>
      </c>
      <c r="CH8" s="9" t="s">
        <v>1757</v>
      </c>
      <c r="CI8" s="9" t="s">
        <v>1751</v>
      </c>
      <c r="CJ8" s="9" t="s">
        <v>1752</v>
      </c>
      <c r="CK8" s="9" t="s">
        <v>1753</v>
      </c>
      <c r="CL8" s="9" t="s">
        <v>1875</v>
      </c>
      <c r="CM8" s="9" t="s">
        <v>1876</v>
      </c>
      <c r="CN8" s="9" t="s">
        <v>1969</v>
      </c>
      <c r="CO8" s="9" t="s">
        <v>3375</v>
      </c>
      <c r="CP8" s="9" t="s">
        <v>3376</v>
      </c>
    </row>
    <row r="9" spans="1:94">
      <c r="A9" s="3" t="s">
        <v>850</v>
      </c>
      <c r="B9" s="3" t="s">
        <v>851</v>
      </c>
      <c r="C9" s="3">
        <v>1</v>
      </c>
      <c r="D9" s="3" t="s">
        <v>759</v>
      </c>
      <c r="E9" s="83">
        <v>2248526</v>
      </c>
      <c r="F9" s="83">
        <v>2371605</v>
      </c>
      <c r="G9" s="83">
        <v>2523192</v>
      </c>
      <c r="H9" s="83">
        <v>2583394</v>
      </c>
      <c r="I9" s="83">
        <v>2648319</v>
      </c>
      <c r="J9" s="83">
        <v>2852514</v>
      </c>
      <c r="K9" s="83">
        <v>2916169</v>
      </c>
      <c r="L9" s="83">
        <v>2916197</v>
      </c>
      <c r="M9" s="83">
        <v>3158182</v>
      </c>
      <c r="N9" s="83">
        <v>3351880</v>
      </c>
      <c r="O9" s="83">
        <v>3728546</v>
      </c>
      <c r="P9" s="83">
        <v>3772901</v>
      </c>
      <c r="Q9" s="83">
        <v>3597195</v>
      </c>
      <c r="R9" s="83">
        <v>3664706</v>
      </c>
      <c r="S9" s="83">
        <v>3813582</v>
      </c>
      <c r="T9" s="83">
        <v>3836371</v>
      </c>
      <c r="U9" s="83">
        <v>4133077</v>
      </c>
      <c r="V9" s="83">
        <v>4462160</v>
      </c>
      <c r="W9" s="83">
        <v>4357324</v>
      </c>
      <c r="X9" s="83">
        <v>4095155</v>
      </c>
      <c r="Y9" s="83">
        <v>4325774</v>
      </c>
      <c r="Z9" s="83">
        <v>4601841</v>
      </c>
      <c r="AA9" s="83">
        <v>5137230</v>
      </c>
      <c r="AB9" s="83">
        <v>5824998</v>
      </c>
      <c r="AC9" s="83">
        <v>6484881</v>
      </c>
      <c r="AD9" s="83">
        <v>7249713</v>
      </c>
      <c r="AE9" s="83">
        <v>7378513</v>
      </c>
      <c r="AF9" s="83">
        <v>7983424</v>
      </c>
      <c r="AG9" s="83">
        <v>8187678</v>
      </c>
      <c r="AH9" s="83">
        <v>9042341</v>
      </c>
      <c r="AI9" s="83">
        <v>9241799</v>
      </c>
      <c r="AJ9" s="83">
        <v>9366868</v>
      </c>
      <c r="AK9" s="83">
        <v>9125710</v>
      </c>
      <c r="AL9" s="83">
        <v>9185519</v>
      </c>
      <c r="AM9" s="83">
        <v>9448301</v>
      </c>
      <c r="AN9" s="83">
        <v>10341810</v>
      </c>
      <c r="AO9" s="83">
        <v>11136799</v>
      </c>
      <c r="AP9" s="83">
        <v>12703586.236799998</v>
      </c>
      <c r="AQ9" s="83">
        <v>13319230.457999997</v>
      </c>
      <c r="AR9" s="97">
        <v>13403874</v>
      </c>
      <c r="AS9" s="97">
        <v>13871438</v>
      </c>
      <c r="AT9" s="97">
        <v>14840594.270910989</v>
      </c>
      <c r="AU9" s="97">
        <v>15561662.641000001</v>
      </c>
      <c r="AV9" s="97">
        <v>16399687.922100276</v>
      </c>
      <c r="AW9" s="97">
        <v>16800633</v>
      </c>
      <c r="AX9" s="73">
        <v>256.25603379964895</v>
      </c>
      <c r="AY9" s="73">
        <v>263.99222344398947</v>
      </c>
      <c r="AZ9" s="73">
        <v>274.47764884172068</v>
      </c>
      <c r="BA9" s="73">
        <v>274.77674550301458</v>
      </c>
      <c r="BB9" s="73">
        <v>275.55425046067063</v>
      </c>
      <c r="BC9" s="73">
        <v>290.48097252043118</v>
      </c>
      <c r="BD9" s="73">
        <v>290.77203278154997</v>
      </c>
      <c r="BE9" s="73">
        <v>284.83648989504343</v>
      </c>
      <c r="BF9" s="73">
        <v>302.29844613386592</v>
      </c>
      <c r="BG9" s="73">
        <v>314.54385754181556</v>
      </c>
      <c r="BH9" s="73">
        <v>343.1574773814292</v>
      </c>
      <c r="BI9" s="73">
        <v>342.28648107109723</v>
      </c>
      <c r="BJ9" s="73">
        <v>321.75628081709323</v>
      </c>
      <c r="BK9" s="73">
        <v>323.24875091601848</v>
      </c>
      <c r="BL9" s="73">
        <v>331.77909024971507</v>
      </c>
      <c r="BM9" s="73">
        <v>329.25774663577641</v>
      </c>
      <c r="BN9" s="73">
        <v>349.99950884119716</v>
      </c>
      <c r="BO9" s="73">
        <v>372.90194810464044</v>
      </c>
      <c r="BP9" s="73">
        <v>359.41809118559888</v>
      </c>
      <c r="BQ9" s="73">
        <v>333.46790975323739</v>
      </c>
      <c r="BR9" s="73">
        <v>347.7941854553813</v>
      </c>
      <c r="BS9" s="73">
        <v>365.3712187099394</v>
      </c>
      <c r="BT9" s="73">
        <v>402.85083604077698</v>
      </c>
      <c r="BU9" s="73">
        <v>451.22129573139085</v>
      </c>
      <c r="BV9" s="73">
        <v>496.29372372455339</v>
      </c>
      <c r="BW9" s="73">
        <v>548.23079297577397</v>
      </c>
      <c r="BX9" s="73">
        <v>551.41513942591496</v>
      </c>
      <c r="BY9" s="73">
        <v>589.69337499205028</v>
      </c>
      <c r="BZ9" s="73">
        <v>597.838060124663</v>
      </c>
      <c r="CA9" s="73">
        <v>652.74968556655381</v>
      </c>
      <c r="CB9" s="73">
        <v>659.66164802795277</v>
      </c>
      <c r="CC9" s="73">
        <v>661.16938492028339</v>
      </c>
      <c r="CD9" s="73">
        <v>638.39555730849031</v>
      </c>
      <c r="CE9" s="73">
        <v>636.89280711648848</v>
      </c>
      <c r="CF9" s="73">
        <v>649.36647205307975</v>
      </c>
      <c r="CG9" s="73">
        <v>704.59504287637037</v>
      </c>
      <c r="CH9" s="73">
        <v>752.21704389644253</v>
      </c>
      <c r="CI9" s="73">
        <v>850.70921329871089</v>
      </c>
      <c r="CJ9" s="73">
        <v>884.37752180843586</v>
      </c>
      <c r="CK9" s="73">
        <v>834.96097919919043</v>
      </c>
      <c r="CL9" s="73">
        <v>905.69215848531212</v>
      </c>
      <c r="CM9" s="73">
        <v>960.91040095365815</v>
      </c>
      <c r="CN9" s="73">
        <v>999.35630868744727</v>
      </c>
      <c r="CO9" s="73">
        <v>1006.7582340179322</v>
      </c>
      <c r="CP9" s="73">
        <v>1019.6941651838666</v>
      </c>
    </row>
    <row r="10" spans="1:94">
      <c r="A10" s="3" t="s">
        <v>667</v>
      </c>
      <c r="B10" s="3" t="s">
        <v>668</v>
      </c>
      <c r="C10" s="3">
        <v>2</v>
      </c>
      <c r="D10" s="3" t="s">
        <v>759</v>
      </c>
      <c r="E10" s="83">
        <v>1330540</v>
      </c>
      <c r="F10" s="83">
        <v>1381272</v>
      </c>
      <c r="G10" s="83">
        <v>1428123</v>
      </c>
      <c r="H10" s="83">
        <v>1432123</v>
      </c>
      <c r="I10" s="83">
        <v>1429349</v>
      </c>
      <c r="J10" s="83">
        <v>1490482</v>
      </c>
      <c r="K10" s="83">
        <v>1529200</v>
      </c>
      <c r="L10" s="83">
        <v>1541028</v>
      </c>
      <c r="M10" s="83">
        <v>1627251</v>
      </c>
      <c r="N10" s="83">
        <v>1668359</v>
      </c>
      <c r="O10" s="83">
        <v>1790122</v>
      </c>
      <c r="P10" s="83">
        <v>1823533</v>
      </c>
      <c r="Q10" s="83">
        <v>1779391</v>
      </c>
      <c r="R10" s="83">
        <v>1866812</v>
      </c>
      <c r="S10" s="83">
        <v>1941551</v>
      </c>
      <c r="T10" s="83">
        <v>1889441</v>
      </c>
      <c r="U10" s="83">
        <v>1999397</v>
      </c>
      <c r="V10" s="83">
        <v>2559827</v>
      </c>
      <c r="W10" s="83">
        <v>2084602</v>
      </c>
      <c r="X10" s="83">
        <v>1927242</v>
      </c>
      <c r="Y10" s="83">
        <v>2058822</v>
      </c>
      <c r="Z10" s="83">
        <v>2202383</v>
      </c>
      <c r="AA10" s="83">
        <v>2449269</v>
      </c>
      <c r="AB10" s="83">
        <v>2474433</v>
      </c>
      <c r="AC10" s="83">
        <v>2615663</v>
      </c>
      <c r="AD10" s="83">
        <v>2674696</v>
      </c>
      <c r="AE10" s="83">
        <v>2670773</v>
      </c>
      <c r="AF10" s="83">
        <v>2887673</v>
      </c>
      <c r="AG10" s="83">
        <v>2911798</v>
      </c>
      <c r="AH10" s="83">
        <v>3222384</v>
      </c>
      <c r="AI10" s="83">
        <v>3357505</v>
      </c>
      <c r="AJ10" s="83">
        <v>3605365</v>
      </c>
      <c r="AK10" s="83">
        <v>3362917</v>
      </c>
      <c r="AL10" s="83">
        <v>3455850</v>
      </c>
      <c r="AM10" s="83">
        <v>3557822</v>
      </c>
      <c r="AN10" s="83">
        <v>3643341</v>
      </c>
      <c r="AO10" s="83">
        <v>3785907</v>
      </c>
      <c r="AP10" s="83">
        <v>4205429.6380000003</v>
      </c>
      <c r="AQ10" s="83">
        <v>4184831.7439999999</v>
      </c>
      <c r="AR10" s="83">
        <v>4257818.9989999998</v>
      </c>
      <c r="AS10" s="96">
        <v>4374709</v>
      </c>
      <c r="AT10" s="97">
        <v>4544016.4040000001</v>
      </c>
      <c r="AU10" s="97">
        <v>4520124.3289999999</v>
      </c>
      <c r="AV10" s="97">
        <v>4478808</v>
      </c>
      <c r="AW10" s="97">
        <v>4557616</v>
      </c>
      <c r="AX10" s="73">
        <v>447.62356208828197</v>
      </c>
      <c r="AY10" s="73">
        <v>465.46802877825462</v>
      </c>
      <c r="AZ10" s="73">
        <v>482.06224669861371</v>
      </c>
      <c r="BA10" s="73">
        <v>484.22354626902978</v>
      </c>
      <c r="BB10" s="73">
        <v>484.09786427801311</v>
      </c>
      <c r="BC10" s="73">
        <v>505.6524861745375</v>
      </c>
      <c r="BD10" s="73">
        <v>519.66259584040199</v>
      </c>
      <c r="BE10" s="73">
        <v>524.56666848894383</v>
      </c>
      <c r="BF10" s="73">
        <v>554.85428064230973</v>
      </c>
      <c r="BG10" s="73">
        <v>569.83533731262412</v>
      </c>
      <c r="BH10" s="73">
        <v>612.46210435164016</v>
      </c>
      <c r="BI10" s="73">
        <v>623.06808823618849</v>
      </c>
      <c r="BJ10" s="73">
        <v>607.18262391097528</v>
      </c>
      <c r="BK10" s="73">
        <v>636.17314935138734</v>
      </c>
      <c r="BL10" s="73">
        <v>660.77121529532019</v>
      </c>
      <c r="BM10" s="73">
        <v>642.19064987440606</v>
      </c>
      <c r="BN10" s="73">
        <v>678.67014666954867</v>
      </c>
      <c r="BO10" s="73">
        <v>867.76105737050966</v>
      </c>
      <c r="BP10" s="73">
        <v>705.73759783145181</v>
      </c>
      <c r="BQ10" s="73">
        <v>651.60988798484527</v>
      </c>
      <c r="BR10" s="73">
        <v>695.18802528123445</v>
      </c>
      <c r="BS10" s="73">
        <v>742.69264582250707</v>
      </c>
      <c r="BT10" s="73">
        <v>825.11353581980666</v>
      </c>
      <c r="BU10" s="73">
        <v>832.74937775160538</v>
      </c>
      <c r="BV10" s="73">
        <v>879.39145532889108</v>
      </c>
      <c r="BW10" s="73">
        <v>898.33259253054484</v>
      </c>
      <c r="BX10" s="73">
        <v>896.11226680982418</v>
      </c>
      <c r="BY10" s="73">
        <v>967.91364910779293</v>
      </c>
      <c r="BZ10" s="73">
        <v>975.01981316092144</v>
      </c>
      <c r="CA10" s="73">
        <v>1077.9373587633791</v>
      </c>
      <c r="CB10" s="73">
        <v>1122.0116604825507</v>
      </c>
      <c r="CC10" s="73">
        <v>1203.6351108050119</v>
      </c>
      <c r="CD10" s="73">
        <v>1120.0810475077965</v>
      </c>
      <c r="CE10" s="73">
        <v>1148.3604548901046</v>
      </c>
      <c r="CF10" s="73">
        <v>1179.5054031376876</v>
      </c>
      <c r="CG10" s="73">
        <v>1205.0644086828092</v>
      </c>
      <c r="CH10" s="73">
        <v>1249.330728704072</v>
      </c>
      <c r="CI10" s="73">
        <v>1384.5772919006095</v>
      </c>
      <c r="CJ10" s="73">
        <v>1374.6320761825777</v>
      </c>
      <c r="CK10" s="73">
        <v>1395.4028661311954</v>
      </c>
      <c r="CL10" s="73">
        <v>1430.4339424171985</v>
      </c>
      <c r="CM10" s="73">
        <v>1482.3272597498387</v>
      </c>
      <c r="CN10" s="73">
        <v>1471.1906255838221</v>
      </c>
      <c r="CO10" s="73">
        <v>1471.319375731749</v>
      </c>
      <c r="CP10" s="73">
        <v>1494.6781629060986</v>
      </c>
    </row>
    <row r="11" spans="1:94">
      <c r="A11" s="3" t="s">
        <v>669</v>
      </c>
      <c r="B11" s="3" t="s">
        <v>663</v>
      </c>
      <c r="C11" s="3">
        <v>3</v>
      </c>
      <c r="D11" s="3" t="s">
        <v>664</v>
      </c>
      <c r="E11" s="83">
        <v>10507</v>
      </c>
      <c r="F11" s="83">
        <v>10779</v>
      </c>
      <c r="G11" s="83">
        <v>14233</v>
      </c>
      <c r="H11" s="83">
        <v>14130</v>
      </c>
      <c r="I11" s="83">
        <v>16433</v>
      </c>
      <c r="J11" s="83">
        <v>21701</v>
      </c>
      <c r="K11" s="83">
        <v>24779</v>
      </c>
      <c r="L11" s="83">
        <v>24257</v>
      </c>
      <c r="M11" s="83">
        <v>25119</v>
      </c>
      <c r="N11" s="83">
        <v>28031</v>
      </c>
      <c r="O11" s="83">
        <v>29854</v>
      </c>
      <c r="P11" s="83">
        <v>30786</v>
      </c>
      <c r="Q11" s="83">
        <v>30222</v>
      </c>
      <c r="R11" s="83">
        <v>33239</v>
      </c>
      <c r="S11" s="83">
        <v>35979</v>
      </c>
      <c r="T11" s="83">
        <v>39413</v>
      </c>
      <c r="U11" s="83">
        <v>44465</v>
      </c>
      <c r="V11" s="83">
        <v>50819</v>
      </c>
      <c r="W11" s="83">
        <v>51215</v>
      </c>
      <c r="X11" s="83">
        <v>49734</v>
      </c>
      <c r="Y11" s="83">
        <v>53940</v>
      </c>
      <c r="Z11" s="83">
        <v>58375</v>
      </c>
      <c r="AA11" s="83">
        <v>61286</v>
      </c>
      <c r="AB11" s="83">
        <v>70684</v>
      </c>
      <c r="AC11" s="83">
        <v>77031</v>
      </c>
      <c r="AD11" s="83">
        <v>93398</v>
      </c>
      <c r="AE11" s="83">
        <v>92053</v>
      </c>
      <c r="AF11" s="83">
        <v>106921</v>
      </c>
      <c r="AG11" s="83">
        <v>113569</v>
      </c>
      <c r="AH11" s="83">
        <v>120198</v>
      </c>
      <c r="AI11" s="83">
        <v>123554</v>
      </c>
      <c r="AJ11" s="83">
        <v>130970.713</v>
      </c>
      <c r="AK11" s="83">
        <v>109481</v>
      </c>
      <c r="AL11" s="83">
        <v>104320</v>
      </c>
      <c r="AM11" s="83">
        <v>116713</v>
      </c>
      <c r="AN11" s="83">
        <v>131768</v>
      </c>
      <c r="AO11" s="83">
        <v>152703</v>
      </c>
      <c r="AP11" s="83">
        <v>91977.447</v>
      </c>
      <c r="AQ11" s="83">
        <v>159576</v>
      </c>
      <c r="AR11" s="83">
        <v>169368</v>
      </c>
      <c r="AS11" s="96">
        <v>221156</v>
      </c>
      <c r="AT11" s="97">
        <v>241019.82600000003</v>
      </c>
      <c r="AU11" s="97">
        <v>268914</v>
      </c>
      <c r="AV11" s="97">
        <v>303227</v>
      </c>
      <c r="AW11" s="97">
        <v>330094</v>
      </c>
      <c r="AX11" s="73">
        <v>60.972708228152946</v>
      </c>
      <c r="AY11" s="73">
        <v>61.292237567552817</v>
      </c>
      <c r="AZ11" s="73">
        <v>79.335881802746684</v>
      </c>
      <c r="BA11" s="73">
        <v>77.237932188047296</v>
      </c>
      <c r="BB11" s="73">
        <v>88.121767089981475</v>
      </c>
      <c r="BC11" s="73">
        <v>114.20376802441848</v>
      </c>
      <c r="BD11" s="73">
        <v>128.01754913478757</v>
      </c>
      <c r="BE11" s="73">
        <v>123.07025715022111</v>
      </c>
      <c r="BF11" s="73">
        <v>125.1955011558118</v>
      </c>
      <c r="BG11" s="73">
        <v>137.28734200029777</v>
      </c>
      <c r="BH11" s="73">
        <v>143.72439424794311</v>
      </c>
      <c r="BI11" s="73">
        <v>144.63373196324201</v>
      </c>
      <c r="BJ11" s="73">
        <v>138.63759366019485</v>
      </c>
      <c r="BK11" s="73">
        <v>148.96648256383153</v>
      </c>
      <c r="BL11" s="73">
        <v>157.61692013410163</v>
      </c>
      <c r="BM11" s="73">
        <v>168.85987132751845</v>
      </c>
      <c r="BN11" s="73">
        <v>186.40131849640602</v>
      </c>
      <c r="BO11" s="73">
        <v>208.54607612959757</v>
      </c>
      <c r="BP11" s="73">
        <v>205.8313014450149</v>
      </c>
      <c r="BQ11" s="73">
        <v>195.83539305565981</v>
      </c>
      <c r="BR11" s="73">
        <v>208.18531070847112</v>
      </c>
      <c r="BS11" s="73">
        <v>220.92160736317052</v>
      </c>
      <c r="BT11" s="73">
        <v>225.81720840172957</v>
      </c>
      <c r="BU11" s="73">
        <v>253.74875699582495</v>
      </c>
      <c r="BV11" s="73">
        <v>269.60169255726288</v>
      </c>
      <c r="BW11" s="73">
        <v>318.89075538438425</v>
      </c>
      <c r="BX11" s="73">
        <v>306.79577998743531</v>
      </c>
      <c r="BY11" s="73">
        <v>348.03993372589997</v>
      </c>
      <c r="BZ11" s="73">
        <v>361.25730226817637</v>
      </c>
      <c r="CA11" s="73">
        <v>373.82671816977364</v>
      </c>
      <c r="CB11" s="73">
        <v>375.89082938211999</v>
      </c>
      <c r="CC11" s="73">
        <v>389.95743154121226</v>
      </c>
      <c r="CD11" s="73">
        <v>318.76198494664061</v>
      </c>
      <c r="CE11" s="73">
        <v>297.16159967968531</v>
      </c>
      <c r="CF11" s="73">
        <v>325.42069183536262</v>
      </c>
      <c r="CG11" s="73">
        <v>359.77555911450349</v>
      </c>
      <c r="CH11" s="73">
        <v>408.46231697529618</v>
      </c>
      <c r="CI11" s="73">
        <v>241.12814770035931</v>
      </c>
      <c r="CJ11" s="73">
        <v>410.17445266247626</v>
      </c>
      <c r="CK11" s="73">
        <v>427.00458607382865</v>
      </c>
      <c r="CL11" s="73">
        <v>547.09083712645952</v>
      </c>
      <c r="CM11" s="73">
        <v>584.66467266323184</v>
      </c>
      <c r="CN11" s="73">
        <v>639.79310705805653</v>
      </c>
      <c r="CO11" s="73">
        <v>778.99120373224821</v>
      </c>
      <c r="CP11" s="73">
        <v>839.74580755454258</v>
      </c>
    </row>
    <row r="12" spans="1:94">
      <c r="A12" s="3" t="s">
        <v>665</v>
      </c>
      <c r="B12" s="3" t="s">
        <v>640</v>
      </c>
      <c r="C12" s="3">
        <v>4</v>
      </c>
      <c r="D12" s="3" t="s">
        <v>641</v>
      </c>
      <c r="E12" s="83">
        <v>39409</v>
      </c>
      <c r="F12" s="83">
        <v>43157</v>
      </c>
      <c r="G12" s="83">
        <v>48505</v>
      </c>
      <c r="H12" s="83">
        <v>63278</v>
      </c>
      <c r="I12" s="83">
        <v>74616</v>
      </c>
      <c r="J12" s="83">
        <v>76237</v>
      </c>
      <c r="K12" s="83">
        <v>82170</v>
      </c>
      <c r="L12" s="83">
        <v>94513</v>
      </c>
      <c r="M12" s="83">
        <v>104646</v>
      </c>
      <c r="N12" s="83">
        <v>121198</v>
      </c>
      <c r="O12" s="83">
        <v>137642</v>
      </c>
      <c r="P12" s="83">
        <v>133939</v>
      </c>
      <c r="Q12" s="83">
        <v>137068</v>
      </c>
      <c r="R12" s="83">
        <v>149460</v>
      </c>
      <c r="S12" s="83">
        <v>156701</v>
      </c>
      <c r="T12" s="83">
        <v>174429</v>
      </c>
      <c r="U12" s="83">
        <v>191945</v>
      </c>
      <c r="V12" s="83">
        <v>196889</v>
      </c>
      <c r="W12" s="83">
        <v>205396</v>
      </c>
      <c r="X12" s="83">
        <v>196610</v>
      </c>
      <c r="Y12" s="83">
        <v>217402</v>
      </c>
      <c r="Z12" s="83">
        <v>228806</v>
      </c>
      <c r="AA12" s="83">
        <v>266968</v>
      </c>
      <c r="AB12" s="83">
        <v>279473</v>
      </c>
      <c r="AC12" s="83">
        <v>302390</v>
      </c>
      <c r="AD12" s="83">
        <v>329357</v>
      </c>
      <c r="AE12" s="83">
        <v>345239</v>
      </c>
      <c r="AF12" s="83">
        <v>383548</v>
      </c>
      <c r="AG12" s="83">
        <v>387827</v>
      </c>
      <c r="AH12" s="83">
        <v>427164</v>
      </c>
      <c r="AI12" s="83">
        <v>418407</v>
      </c>
      <c r="AJ12" s="83">
        <v>440169</v>
      </c>
      <c r="AK12" s="83">
        <v>420855</v>
      </c>
      <c r="AL12" s="83">
        <v>433437</v>
      </c>
      <c r="AM12" s="83">
        <v>470133</v>
      </c>
      <c r="AN12" s="83">
        <v>514232</v>
      </c>
      <c r="AO12" s="83">
        <v>579941</v>
      </c>
      <c r="AP12" s="83">
        <v>663044.47808999999</v>
      </c>
      <c r="AQ12" s="83">
        <v>695453.68900000001</v>
      </c>
      <c r="AR12" s="83">
        <v>778679.30699999991</v>
      </c>
      <c r="AS12" s="96">
        <v>800765</v>
      </c>
      <c r="AT12" s="97">
        <v>866336.44400000002</v>
      </c>
      <c r="AU12" s="97">
        <v>1049694</v>
      </c>
      <c r="AV12" s="97">
        <v>1104128</v>
      </c>
      <c r="AW12" s="97">
        <v>1104029</v>
      </c>
      <c r="AX12" s="73">
        <v>69.551881089914986</v>
      </c>
      <c r="AY12" s="73">
        <v>74.396960890094988</v>
      </c>
      <c r="AZ12" s="73">
        <v>81.717570060960071</v>
      </c>
      <c r="BA12" s="73">
        <v>104.23909725561477</v>
      </c>
      <c r="BB12" s="73">
        <v>120.24664292116704</v>
      </c>
      <c r="BC12" s="73">
        <v>120.24715990867543</v>
      </c>
      <c r="BD12" s="73">
        <v>126.90731642224226</v>
      </c>
      <c r="BE12" s="73">
        <v>142.9938923529669</v>
      </c>
      <c r="BF12" s="73">
        <v>155.1607105312556</v>
      </c>
      <c r="BG12" s="73">
        <v>176.18188084820474</v>
      </c>
      <c r="BH12" s="73">
        <v>196.24118894997378</v>
      </c>
      <c r="BI12" s="73">
        <v>187.59926279690319</v>
      </c>
      <c r="BJ12" s="73">
        <v>188.6599419686379</v>
      </c>
      <c r="BK12" s="73">
        <v>202.21724867670892</v>
      </c>
      <c r="BL12" s="73">
        <v>208.46840622929423</v>
      </c>
      <c r="BM12" s="73">
        <v>228.23587742013132</v>
      </c>
      <c r="BN12" s="73">
        <v>247.09064586864875</v>
      </c>
      <c r="BO12" s="73">
        <v>249.41868202161524</v>
      </c>
      <c r="BP12" s="73">
        <v>256.11658274819717</v>
      </c>
      <c r="BQ12" s="73">
        <v>241.37719828534654</v>
      </c>
      <c r="BR12" s="73">
        <v>262.84671447772985</v>
      </c>
      <c r="BS12" s="73">
        <v>272.49287523654931</v>
      </c>
      <c r="BT12" s="73">
        <v>312.29634696984175</v>
      </c>
      <c r="BU12" s="73">
        <v>321.22137060642797</v>
      </c>
      <c r="BV12" s="73">
        <v>341.60251899520807</v>
      </c>
      <c r="BW12" s="73">
        <v>365.79460539114365</v>
      </c>
      <c r="BX12" s="73">
        <v>377.07733635660145</v>
      </c>
      <c r="BY12" s="73">
        <v>412.08788847450086</v>
      </c>
      <c r="BZ12" s="73">
        <v>409.99939846978748</v>
      </c>
      <c r="CA12" s="73">
        <v>444.45387809325706</v>
      </c>
      <c r="CB12" s="73">
        <v>428.57436977626105</v>
      </c>
      <c r="CC12" s="73">
        <v>443.96310872718249</v>
      </c>
      <c r="CD12" s="73">
        <v>420.72537451211286</v>
      </c>
      <c r="CE12" s="73">
        <v>429.50181843909735</v>
      </c>
      <c r="CF12" s="73">
        <v>461.81284130715784</v>
      </c>
      <c r="CG12" s="73">
        <v>500.77594991539343</v>
      </c>
      <c r="CH12" s="73">
        <v>559.93745827800171</v>
      </c>
      <c r="CI12" s="73">
        <v>634.7482272901027</v>
      </c>
      <c r="CJ12" s="73">
        <v>660.17850308059508</v>
      </c>
      <c r="CK12" s="73">
        <v>733.02166015602756</v>
      </c>
      <c r="CL12" s="73">
        <v>747.58131749228164</v>
      </c>
      <c r="CM12" s="73">
        <v>801.622279035725</v>
      </c>
      <c r="CN12" s="73">
        <v>962.62372174448922</v>
      </c>
      <c r="CO12" s="73">
        <v>987.63364828396186</v>
      </c>
      <c r="CP12" s="73">
        <v>976.49140993164735</v>
      </c>
    </row>
    <row r="13" spans="1:94">
      <c r="A13" s="3" t="s">
        <v>539</v>
      </c>
      <c r="B13" s="3" t="s">
        <v>540</v>
      </c>
      <c r="C13" s="3">
        <v>5</v>
      </c>
      <c r="D13" s="3" t="s">
        <v>541</v>
      </c>
      <c r="E13" s="83">
        <v>19329</v>
      </c>
      <c r="F13" s="83">
        <v>20511</v>
      </c>
      <c r="G13" s="83">
        <v>27745</v>
      </c>
      <c r="H13" s="83">
        <v>31967</v>
      </c>
      <c r="I13" s="83">
        <v>35477</v>
      </c>
      <c r="J13" s="83">
        <v>41479</v>
      </c>
      <c r="K13" s="83">
        <v>49534</v>
      </c>
      <c r="L13" s="83">
        <v>50503</v>
      </c>
      <c r="M13" s="83">
        <v>54468</v>
      </c>
      <c r="N13" s="83">
        <v>55654</v>
      </c>
      <c r="O13" s="83">
        <v>65128</v>
      </c>
      <c r="P13" s="83">
        <v>62866</v>
      </c>
      <c r="Q13" s="83">
        <v>63963</v>
      </c>
      <c r="R13" s="83">
        <v>68841</v>
      </c>
      <c r="S13" s="83">
        <v>77575</v>
      </c>
      <c r="T13" s="83">
        <v>89077</v>
      </c>
      <c r="U13" s="83">
        <v>100557</v>
      </c>
      <c r="V13" s="83">
        <v>108474</v>
      </c>
      <c r="W13" s="83">
        <v>104783</v>
      </c>
      <c r="X13" s="83">
        <v>104957</v>
      </c>
      <c r="Y13" s="83">
        <v>106650</v>
      </c>
      <c r="Z13" s="83">
        <v>115279</v>
      </c>
      <c r="AA13" s="83">
        <v>124793</v>
      </c>
      <c r="AB13" s="83">
        <v>131587</v>
      </c>
      <c r="AC13" s="83">
        <v>155839</v>
      </c>
      <c r="AD13" s="83">
        <v>163274</v>
      </c>
      <c r="AE13" s="83">
        <v>176342</v>
      </c>
      <c r="AF13" s="83">
        <v>178961</v>
      </c>
      <c r="AG13" s="83">
        <v>195410</v>
      </c>
      <c r="AH13" s="83">
        <v>205220</v>
      </c>
      <c r="AI13" s="83">
        <v>200938</v>
      </c>
      <c r="AJ13" s="83">
        <v>208153</v>
      </c>
      <c r="AK13" s="83">
        <v>217668</v>
      </c>
      <c r="AL13" s="83">
        <v>213680</v>
      </c>
      <c r="AM13" s="83">
        <v>234066</v>
      </c>
      <c r="AN13" s="83">
        <v>252826</v>
      </c>
      <c r="AO13" s="83">
        <v>275456</v>
      </c>
      <c r="AP13" s="83">
        <v>301397.31200000003</v>
      </c>
      <c r="AQ13" s="83">
        <v>327418.46799999999</v>
      </c>
      <c r="AR13" s="83">
        <v>341897.64799999999</v>
      </c>
      <c r="AS13" s="96">
        <v>370165</v>
      </c>
      <c r="AT13" s="97">
        <v>372159.01527430548</v>
      </c>
      <c r="AU13" s="97">
        <v>400363</v>
      </c>
      <c r="AV13" s="97">
        <v>432934</v>
      </c>
      <c r="AW13" s="97">
        <v>434769</v>
      </c>
      <c r="AX13" s="73">
        <v>101.77443133951138</v>
      </c>
      <c r="AY13" s="73">
        <v>103.99027375841362</v>
      </c>
      <c r="AZ13" s="73">
        <v>135.63310767738628</v>
      </c>
      <c r="BA13" s="73">
        <v>150.87399022460011</v>
      </c>
      <c r="BB13" s="73">
        <v>161.848809115395</v>
      </c>
      <c r="BC13" s="73">
        <v>183.11569058529565</v>
      </c>
      <c r="BD13" s="73">
        <v>211.83077486255416</v>
      </c>
      <c r="BE13" s="73">
        <v>209.41941604895064</v>
      </c>
      <c r="BF13" s="73">
        <v>219.20758799211839</v>
      </c>
      <c r="BG13" s="73">
        <v>217.57147481356267</v>
      </c>
      <c r="BH13" s="73">
        <v>247.52580610833243</v>
      </c>
      <c r="BI13" s="73">
        <v>231.40737655276331</v>
      </c>
      <c r="BJ13" s="73">
        <v>228.25979199642225</v>
      </c>
      <c r="BK13" s="73">
        <v>238.39200349811981</v>
      </c>
      <c r="BL13" s="73">
        <v>260.91034047798843</v>
      </c>
      <c r="BM13" s="73">
        <v>291.21888919529437</v>
      </c>
      <c r="BN13" s="73">
        <v>319.80874510282223</v>
      </c>
      <c r="BO13" s="73">
        <v>335.85294771847623</v>
      </c>
      <c r="BP13" s="73">
        <v>316.05627595200031</v>
      </c>
      <c r="BQ13" s="73">
        <v>308.62006719382532</v>
      </c>
      <c r="BR13" s="73">
        <v>305.90564837211298</v>
      </c>
      <c r="BS13" s="73">
        <v>322.73950205633435</v>
      </c>
      <c r="BT13" s="73">
        <v>342.83075408315653</v>
      </c>
      <c r="BU13" s="73">
        <v>354.84817415813666</v>
      </c>
      <c r="BV13" s="73">
        <v>412.66025641025647</v>
      </c>
      <c r="BW13" s="73">
        <v>424.68021663440527</v>
      </c>
      <c r="BX13" s="73">
        <v>450.67751647149629</v>
      </c>
      <c r="BY13" s="73">
        <v>449.53712704778644</v>
      </c>
      <c r="BZ13" s="73">
        <v>482.59010686576482</v>
      </c>
      <c r="CA13" s="73">
        <v>498.42399701946238</v>
      </c>
      <c r="CB13" s="73">
        <v>480.07389207284848</v>
      </c>
      <c r="CC13" s="73">
        <v>489.33999412283282</v>
      </c>
      <c r="CD13" s="73">
        <v>505.71683435220314</v>
      </c>
      <c r="CE13" s="73">
        <v>490.70562035221309</v>
      </c>
      <c r="CF13" s="73">
        <v>531.37119835344981</v>
      </c>
      <c r="CG13" s="73">
        <v>567.46721367753412</v>
      </c>
      <c r="CH13" s="73">
        <v>611.3447896414948</v>
      </c>
      <c r="CI13" s="73">
        <v>661.51946670081259</v>
      </c>
      <c r="CJ13" s="73">
        <v>710.76961457185678</v>
      </c>
      <c r="CK13" s="73">
        <v>734.1692627605787</v>
      </c>
      <c r="CL13" s="73">
        <v>786.35872139832986</v>
      </c>
      <c r="CM13" s="73">
        <v>782.37592504657664</v>
      </c>
      <c r="CN13" s="73">
        <v>833.06214002729962</v>
      </c>
      <c r="CO13" s="73">
        <v>793.41929713958984</v>
      </c>
      <c r="CP13" s="73">
        <v>781.51024861635142</v>
      </c>
    </row>
    <row r="14" spans="1:94">
      <c r="A14" s="3" t="s">
        <v>542</v>
      </c>
      <c r="B14" s="3" t="s">
        <v>543</v>
      </c>
      <c r="C14" s="3">
        <v>6</v>
      </c>
      <c r="D14" s="3" t="s">
        <v>759</v>
      </c>
      <c r="E14" s="83">
        <v>307115</v>
      </c>
      <c r="F14" s="83">
        <v>327655</v>
      </c>
      <c r="G14" s="83">
        <v>347542</v>
      </c>
      <c r="H14" s="83">
        <v>363512</v>
      </c>
      <c r="I14" s="83">
        <v>402151</v>
      </c>
      <c r="J14" s="83">
        <v>445659</v>
      </c>
      <c r="K14" s="83">
        <v>456250</v>
      </c>
      <c r="L14" s="83">
        <v>484289</v>
      </c>
      <c r="M14" s="83">
        <v>493846</v>
      </c>
      <c r="N14" s="83">
        <v>537951</v>
      </c>
      <c r="O14" s="83">
        <v>596521</v>
      </c>
      <c r="P14" s="83">
        <v>602402</v>
      </c>
      <c r="Q14" s="83">
        <v>594243</v>
      </c>
      <c r="R14" s="83">
        <v>632124</v>
      </c>
      <c r="S14" s="83">
        <v>681355</v>
      </c>
      <c r="T14" s="83">
        <v>707176</v>
      </c>
      <c r="U14" s="83">
        <v>769690</v>
      </c>
      <c r="V14" s="83">
        <v>826384</v>
      </c>
      <c r="W14" s="83">
        <v>836747</v>
      </c>
      <c r="X14" s="83">
        <v>773431</v>
      </c>
      <c r="Y14" s="83">
        <v>792972</v>
      </c>
      <c r="Z14" s="83">
        <v>843149</v>
      </c>
      <c r="AA14" s="83">
        <v>947062</v>
      </c>
      <c r="AB14" s="83">
        <v>1063459</v>
      </c>
      <c r="AC14" s="83">
        <v>1092559</v>
      </c>
      <c r="AD14" s="83">
        <v>1141849</v>
      </c>
      <c r="AE14" s="83">
        <v>1165639</v>
      </c>
      <c r="AF14" s="83">
        <v>1117766</v>
      </c>
      <c r="AG14" s="83">
        <v>1139961</v>
      </c>
      <c r="AH14" s="83">
        <v>1084766</v>
      </c>
      <c r="AI14" s="83">
        <v>1263637</v>
      </c>
      <c r="AJ14" s="83">
        <v>1304131</v>
      </c>
      <c r="AK14" s="83">
        <v>1230282</v>
      </c>
      <c r="AL14" s="83">
        <v>1140541</v>
      </c>
      <c r="AM14" s="83">
        <v>1205990</v>
      </c>
      <c r="AN14" s="83">
        <v>1469630</v>
      </c>
      <c r="AO14" s="83">
        <v>1718719</v>
      </c>
      <c r="AP14" s="83">
        <v>1960987</v>
      </c>
      <c r="AQ14" s="83">
        <v>2114516.9373659999</v>
      </c>
      <c r="AR14" s="83">
        <v>2244778.3650000007</v>
      </c>
      <c r="AS14" s="96">
        <v>2394655</v>
      </c>
      <c r="AT14" s="97">
        <v>2515805.7730000005</v>
      </c>
      <c r="AU14" s="97">
        <v>2589655</v>
      </c>
      <c r="AV14" s="97">
        <v>2714547</v>
      </c>
      <c r="AW14" s="97">
        <v>2828750</v>
      </c>
      <c r="AX14" s="73">
        <v>149.08024746791969</v>
      </c>
      <c r="AY14" s="73">
        <v>156.41096890784516</v>
      </c>
      <c r="AZ14" s="73">
        <v>163.19569076449375</v>
      </c>
      <c r="BA14" s="73">
        <v>167.9526672798392</v>
      </c>
      <c r="BB14" s="73">
        <v>182.86734372508971</v>
      </c>
      <c r="BC14" s="73">
        <v>199.49733863435381</v>
      </c>
      <c r="BD14" s="73">
        <v>201.10827519669601</v>
      </c>
      <c r="BE14" s="73">
        <v>210.24531362189185</v>
      </c>
      <c r="BF14" s="73">
        <v>211.20630333499525</v>
      </c>
      <c r="BG14" s="73">
        <v>226.69801002964576</v>
      </c>
      <c r="BH14" s="73">
        <v>247.74997778012207</v>
      </c>
      <c r="BI14" s="73">
        <v>246.84722760218179</v>
      </c>
      <c r="BJ14" s="73">
        <v>240.29101657257232</v>
      </c>
      <c r="BK14" s="73">
        <v>252.28008275877372</v>
      </c>
      <c r="BL14" s="73">
        <v>268.43244952002021</v>
      </c>
      <c r="BM14" s="73">
        <v>275.06905646205706</v>
      </c>
      <c r="BN14" s="73">
        <v>295.63283898593966</v>
      </c>
      <c r="BO14" s="73">
        <v>313.4798093320012</v>
      </c>
      <c r="BP14" s="73">
        <v>313.53008867340907</v>
      </c>
      <c r="BQ14" s="73">
        <v>286.30501137326428</v>
      </c>
      <c r="BR14" s="73">
        <v>290.03533252518025</v>
      </c>
      <c r="BS14" s="73">
        <v>304.75085147087691</v>
      </c>
      <c r="BT14" s="73">
        <v>337.69981151023126</v>
      </c>
      <c r="BU14" s="73">
        <v>374.16549258261756</v>
      </c>
      <c r="BV14" s="73">
        <v>379.36314808089594</v>
      </c>
      <c r="BW14" s="73">
        <v>391.34597015602645</v>
      </c>
      <c r="BX14" s="73">
        <v>394.39461386503092</v>
      </c>
      <c r="BY14" s="73">
        <v>373.42503917440689</v>
      </c>
      <c r="BZ14" s="73">
        <v>376.09478255880612</v>
      </c>
      <c r="CA14" s="73">
        <v>353.480599374338</v>
      </c>
      <c r="CB14" s="73">
        <v>406.76149399933308</v>
      </c>
      <c r="CC14" s="73">
        <v>414.75429230752599</v>
      </c>
      <c r="CD14" s="73">
        <v>387.80996132340482</v>
      </c>
      <c r="CE14" s="73">
        <v>356.37214387993231</v>
      </c>
      <c r="CF14" s="73">
        <v>373.5497337894023</v>
      </c>
      <c r="CG14" s="73">
        <v>451.2917209466234</v>
      </c>
      <c r="CH14" s="73">
        <v>523.27631347920465</v>
      </c>
      <c r="CI14" s="73">
        <v>591.98320821404036</v>
      </c>
      <c r="CJ14" s="73">
        <v>632.97335733833245</v>
      </c>
      <c r="CK14" s="73">
        <v>666.37381865415261</v>
      </c>
      <c r="CL14" s="73">
        <v>704.99766684281883</v>
      </c>
      <c r="CM14" s="73">
        <v>734.67568193446061</v>
      </c>
      <c r="CN14" s="73">
        <v>750.20930441407791</v>
      </c>
      <c r="CO14" s="73">
        <v>777.8809394243408</v>
      </c>
      <c r="CP14" s="73">
        <v>801.64378421775575</v>
      </c>
    </row>
    <row r="15" spans="1:94">
      <c r="A15" s="3" t="s">
        <v>628</v>
      </c>
      <c r="B15" s="3" t="s">
        <v>629</v>
      </c>
      <c r="C15" s="3">
        <v>7</v>
      </c>
      <c r="D15" s="3" t="s">
        <v>641</v>
      </c>
      <c r="E15" s="83">
        <v>40989</v>
      </c>
      <c r="F15" s="83">
        <v>45852</v>
      </c>
      <c r="G15" s="83">
        <v>52360</v>
      </c>
      <c r="H15" s="83">
        <v>61347</v>
      </c>
      <c r="I15" s="83">
        <v>68464</v>
      </c>
      <c r="J15" s="83">
        <v>77493</v>
      </c>
      <c r="K15" s="83">
        <v>86553</v>
      </c>
      <c r="L15" s="83">
        <v>99800</v>
      </c>
      <c r="M15" s="83">
        <v>99848</v>
      </c>
      <c r="N15" s="83">
        <v>108957</v>
      </c>
      <c r="O15" s="83">
        <v>130741</v>
      </c>
      <c r="P15" s="83">
        <v>139115</v>
      </c>
      <c r="Q15" s="83">
        <v>122813</v>
      </c>
      <c r="R15" s="83">
        <v>134837</v>
      </c>
      <c r="S15" s="83">
        <v>150368</v>
      </c>
      <c r="T15" s="83">
        <v>161032</v>
      </c>
      <c r="U15" s="83">
        <v>184397</v>
      </c>
      <c r="V15" s="83">
        <v>195465</v>
      </c>
      <c r="W15" s="83">
        <v>180319</v>
      </c>
      <c r="X15" s="83">
        <v>203254</v>
      </c>
      <c r="Y15" s="83">
        <v>209831</v>
      </c>
      <c r="Z15" s="83">
        <v>212608</v>
      </c>
      <c r="AA15" s="83">
        <v>244352</v>
      </c>
      <c r="AB15" s="83">
        <v>276824</v>
      </c>
      <c r="AC15" s="83">
        <v>288158</v>
      </c>
      <c r="AD15" s="83">
        <v>309591</v>
      </c>
      <c r="AE15" s="83">
        <v>326187.58173207077</v>
      </c>
      <c r="AF15" s="83">
        <v>304231</v>
      </c>
      <c r="AG15" s="83">
        <v>323437</v>
      </c>
      <c r="AH15" s="83">
        <v>348062</v>
      </c>
      <c r="AI15" s="83">
        <v>364231</v>
      </c>
      <c r="AJ15" s="83">
        <v>361337.21600000001</v>
      </c>
      <c r="AK15" s="83">
        <v>363072</v>
      </c>
      <c r="AL15" s="83">
        <v>365360</v>
      </c>
      <c r="AM15" s="83">
        <v>373552</v>
      </c>
      <c r="AN15" s="83">
        <v>403978</v>
      </c>
      <c r="AO15" s="83">
        <v>446997</v>
      </c>
      <c r="AP15" s="83">
        <v>447036.52900000004</v>
      </c>
      <c r="AQ15" s="83">
        <v>502483.576</v>
      </c>
      <c r="AR15" s="83">
        <v>528263.505</v>
      </c>
      <c r="AS15" s="96">
        <v>559464</v>
      </c>
      <c r="AT15" s="97">
        <v>573230.55799999996</v>
      </c>
      <c r="AU15" s="97">
        <v>612669</v>
      </c>
      <c r="AV15" s="97">
        <v>605800</v>
      </c>
      <c r="AW15" s="97">
        <v>641602</v>
      </c>
      <c r="AX15" s="73">
        <v>72.656594823689559</v>
      </c>
      <c r="AY15" s="73">
        <v>79.898556783091607</v>
      </c>
      <c r="AZ15" s="73">
        <v>89.71769426211138</v>
      </c>
      <c r="BA15" s="73">
        <v>103.39281533949136</v>
      </c>
      <c r="BB15" s="73">
        <v>113.52583067498985</v>
      </c>
      <c r="BC15" s="73">
        <v>126.45714225102623</v>
      </c>
      <c r="BD15" s="73">
        <v>139.03399540456769</v>
      </c>
      <c r="BE15" s="73">
        <v>157.84598123024651</v>
      </c>
      <c r="BF15" s="73">
        <v>155.52827244426183</v>
      </c>
      <c r="BG15" s="73">
        <v>167.18291336215844</v>
      </c>
      <c r="BH15" s="73">
        <v>197.65697992604171</v>
      </c>
      <c r="BI15" s="73">
        <v>206.50975942871099</v>
      </c>
      <c r="BJ15" s="73">
        <v>179.06865548503231</v>
      </c>
      <c r="BK15" s="73">
        <v>193.16580120235349</v>
      </c>
      <c r="BL15" s="73">
        <v>211.71668115629453</v>
      </c>
      <c r="BM15" s="73">
        <v>222.90426601463102</v>
      </c>
      <c r="BN15" s="73">
        <v>251.00961206854245</v>
      </c>
      <c r="BO15" s="73">
        <v>261.73119899897142</v>
      </c>
      <c r="BP15" s="73">
        <v>237.57119731540951</v>
      </c>
      <c r="BQ15" s="73">
        <v>263.55381995687759</v>
      </c>
      <c r="BR15" s="73">
        <v>267.84675429629164</v>
      </c>
      <c r="BS15" s="73">
        <v>267.23177902296902</v>
      </c>
      <c r="BT15" s="73">
        <v>301.68682731394739</v>
      </c>
      <c r="BU15" s="73">
        <v>335.82470693706625</v>
      </c>
      <c r="BV15" s="73">
        <v>343.58945925659629</v>
      </c>
      <c r="BW15" s="73">
        <v>362.93181466493479</v>
      </c>
      <c r="BX15" s="73">
        <v>376.05794156592339</v>
      </c>
      <c r="BY15" s="73">
        <v>345.03286097454475</v>
      </c>
      <c r="BZ15" s="73">
        <v>360.93710157364632</v>
      </c>
      <c r="CA15" s="73">
        <v>382.29162776700184</v>
      </c>
      <c r="CB15" s="73">
        <v>393.83966942774299</v>
      </c>
      <c r="CC15" s="73">
        <v>384.73732483371117</v>
      </c>
      <c r="CD15" s="73">
        <v>382.21931882043475</v>
      </c>
      <c r="CE15" s="73">
        <v>380.3334304986563</v>
      </c>
      <c r="CF15" s="73">
        <v>384.56728772964516</v>
      </c>
      <c r="CG15" s="73">
        <v>411.34830863914328</v>
      </c>
      <c r="CH15" s="73">
        <v>450.23489123440572</v>
      </c>
      <c r="CI15" s="73">
        <v>445.46213218621426</v>
      </c>
      <c r="CJ15" s="73">
        <v>495.41880476035635</v>
      </c>
      <c r="CK15" s="73">
        <v>515.38601840551792</v>
      </c>
      <c r="CL15" s="73">
        <v>540.17333003769386</v>
      </c>
      <c r="CM15" s="73">
        <v>547.55514948547648</v>
      </c>
      <c r="CN15" s="73">
        <v>578.99412282251944</v>
      </c>
      <c r="CO15" s="73">
        <v>577.3235174993448</v>
      </c>
      <c r="CP15" s="73">
        <v>605.37856800486111</v>
      </c>
    </row>
    <row r="16" spans="1:94">
      <c r="A16" s="3" t="s">
        <v>630</v>
      </c>
      <c r="B16" s="3" t="s">
        <v>631</v>
      </c>
      <c r="C16" s="3">
        <v>8</v>
      </c>
      <c r="D16" s="3" t="s">
        <v>759</v>
      </c>
      <c r="E16" s="83">
        <v>76993</v>
      </c>
      <c r="F16" s="83">
        <v>80620</v>
      </c>
      <c r="G16" s="83">
        <v>89830</v>
      </c>
      <c r="H16" s="83">
        <v>99523</v>
      </c>
      <c r="I16" s="83">
        <v>106822</v>
      </c>
      <c r="J16" s="83">
        <v>120981</v>
      </c>
      <c r="K16" s="83">
        <v>138257</v>
      </c>
      <c r="L16" s="83">
        <v>149023</v>
      </c>
      <c r="M16" s="83">
        <v>159183</v>
      </c>
      <c r="N16" s="83">
        <v>175500</v>
      </c>
      <c r="O16" s="83">
        <v>201999</v>
      </c>
      <c r="P16" s="83">
        <v>204782</v>
      </c>
      <c r="Q16" s="83">
        <v>197446</v>
      </c>
      <c r="R16" s="83">
        <v>203655</v>
      </c>
      <c r="S16" s="83">
        <v>238109</v>
      </c>
      <c r="T16" s="83">
        <v>245293</v>
      </c>
      <c r="U16" s="83">
        <v>266289</v>
      </c>
      <c r="V16" s="83">
        <v>287685</v>
      </c>
      <c r="W16" s="83">
        <v>282760</v>
      </c>
      <c r="X16" s="83">
        <v>274597</v>
      </c>
      <c r="Y16" s="83">
        <v>293033</v>
      </c>
      <c r="Z16" s="83">
        <v>298558</v>
      </c>
      <c r="AA16" s="83">
        <v>327632</v>
      </c>
      <c r="AB16" s="83">
        <v>359790</v>
      </c>
      <c r="AC16" s="83">
        <v>394425</v>
      </c>
      <c r="AD16" s="83">
        <v>420781</v>
      </c>
      <c r="AE16" s="83">
        <v>458881</v>
      </c>
      <c r="AF16" s="83">
        <v>455210</v>
      </c>
      <c r="AG16" s="83">
        <v>479037</v>
      </c>
      <c r="AH16" s="83">
        <v>530398</v>
      </c>
      <c r="AI16" s="83">
        <v>543921</v>
      </c>
      <c r="AJ16" s="83">
        <v>556189.37</v>
      </c>
      <c r="AK16" s="83">
        <v>536133</v>
      </c>
      <c r="AL16" s="83">
        <v>545576</v>
      </c>
      <c r="AM16" s="83">
        <v>582730</v>
      </c>
      <c r="AN16" s="83">
        <v>631151</v>
      </c>
      <c r="AO16" s="83">
        <v>691632</v>
      </c>
      <c r="AP16" s="83">
        <v>781944.08</v>
      </c>
      <c r="AQ16" s="83">
        <v>827158.51099999994</v>
      </c>
      <c r="AR16" s="83">
        <v>872972.52899999998</v>
      </c>
      <c r="AS16" s="96">
        <v>908713</v>
      </c>
      <c r="AT16" s="97">
        <v>973672.4040000001</v>
      </c>
      <c r="AU16" s="97">
        <v>1020908</v>
      </c>
      <c r="AV16" s="97">
        <v>1030252</v>
      </c>
      <c r="AW16" s="97">
        <v>1099243</v>
      </c>
      <c r="AX16" s="73">
        <v>94.855061840035191</v>
      </c>
      <c r="AY16" s="73">
        <v>98.155093326476361</v>
      </c>
      <c r="AZ16" s="73">
        <v>108.0966730580444</v>
      </c>
      <c r="BA16" s="73">
        <v>118.38426526411553</v>
      </c>
      <c r="BB16" s="73">
        <v>125.62272164609958</v>
      </c>
      <c r="BC16" s="73">
        <v>140.67525424359479</v>
      </c>
      <c r="BD16" s="73">
        <v>158.97745359645714</v>
      </c>
      <c r="BE16" s="73">
        <v>169.47404285826059</v>
      </c>
      <c r="BF16" s="73">
        <v>179.06078885601011</v>
      </c>
      <c r="BG16" s="73">
        <v>195.29276555476275</v>
      </c>
      <c r="BH16" s="73">
        <v>222.38919843710264</v>
      </c>
      <c r="BI16" s="73">
        <v>222.9551330965889</v>
      </c>
      <c r="BJ16" s="73">
        <v>212.61239705601511</v>
      </c>
      <c r="BK16" s="73">
        <v>216.92121148496813</v>
      </c>
      <c r="BL16" s="73">
        <v>250.89989945521796</v>
      </c>
      <c r="BM16" s="73">
        <v>255.72754299889954</v>
      </c>
      <c r="BN16" s="73">
        <v>274.7022055567939</v>
      </c>
      <c r="BO16" s="73">
        <v>293.69095356828564</v>
      </c>
      <c r="BP16" s="73">
        <v>285.69499612024259</v>
      </c>
      <c r="BQ16" s="73">
        <v>274.62348743536313</v>
      </c>
      <c r="BR16" s="73">
        <v>290.10861809699685</v>
      </c>
      <c r="BS16" s="73">
        <v>292.63019023638157</v>
      </c>
      <c r="BT16" s="73">
        <v>316.37395921105821</v>
      </c>
      <c r="BU16" s="73">
        <v>342.35971378008554</v>
      </c>
      <c r="BV16" s="73">
        <v>369.92147545045685</v>
      </c>
      <c r="BW16" s="73">
        <v>389.04741396606448</v>
      </c>
      <c r="BX16" s="73">
        <v>418.34542048236159</v>
      </c>
      <c r="BY16" s="73">
        <v>409.27958126367866</v>
      </c>
      <c r="BZ16" s="73">
        <v>424.8476032375321</v>
      </c>
      <c r="CA16" s="73">
        <v>464.08986157575197</v>
      </c>
      <c r="CB16" s="73">
        <v>469.62395443847879</v>
      </c>
      <c r="CC16" s="73">
        <v>473.94437991943983</v>
      </c>
      <c r="CD16" s="73">
        <v>452.20913465269177</v>
      </c>
      <c r="CE16" s="73">
        <v>455.54260508521804</v>
      </c>
      <c r="CF16" s="73">
        <v>481.71714268401752</v>
      </c>
      <c r="CG16" s="73">
        <v>516.59721965304107</v>
      </c>
      <c r="CH16" s="73">
        <v>560.57050404109191</v>
      </c>
      <c r="CI16" s="73">
        <v>627.63716157041551</v>
      </c>
      <c r="CJ16" s="73">
        <v>657.56724880557545</v>
      </c>
      <c r="CK16" s="73">
        <v>687.40126977167631</v>
      </c>
      <c r="CL16" s="73">
        <v>708.81675239115953</v>
      </c>
      <c r="CM16" s="73">
        <v>751.92806554323465</v>
      </c>
      <c r="CN16" s="73">
        <v>780.66588159725939</v>
      </c>
      <c r="CO16" s="73">
        <v>795.48706259878418</v>
      </c>
      <c r="CP16" s="73">
        <v>840.21356121349243</v>
      </c>
    </row>
    <row r="17" spans="1:94">
      <c r="A17" s="3" t="s">
        <v>632</v>
      </c>
      <c r="B17" s="3" t="s">
        <v>633</v>
      </c>
      <c r="C17" s="3">
        <v>9</v>
      </c>
      <c r="D17" s="3" t="s">
        <v>641</v>
      </c>
      <c r="E17" s="83">
        <v>8238</v>
      </c>
      <c r="F17" s="83">
        <v>9176</v>
      </c>
      <c r="G17" s="83">
        <v>11085</v>
      </c>
      <c r="H17" s="83">
        <v>12644</v>
      </c>
      <c r="I17" s="83">
        <v>18522</v>
      </c>
      <c r="J17" s="83">
        <v>22809</v>
      </c>
      <c r="K17" s="83">
        <v>27481</v>
      </c>
      <c r="L17" s="83">
        <v>32647</v>
      </c>
      <c r="M17" s="83">
        <v>33837</v>
      </c>
      <c r="N17" s="83">
        <v>37529</v>
      </c>
      <c r="O17" s="83">
        <v>42282</v>
      </c>
      <c r="P17" s="83">
        <v>43000</v>
      </c>
      <c r="Q17" s="83">
        <v>44973</v>
      </c>
      <c r="R17" s="83">
        <v>46671</v>
      </c>
      <c r="S17" s="83">
        <v>54001</v>
      </c>
      <c r="T17" s="83">
        <v>63186</v>
      </c>
      <c r="U17" s="83">
        <v>75617</v>
      </c>
      <c r="V17" s="83">
        <v>83716</v>
      </c>
      <c r="W17" s="83">
        <v>84352</v>
      </c>
      <c r="X17" s="83">
        <v>85309</v>
      </c>
      <c r="Y17" s="83">
        <v>90692</v>
      </c>
      <c r="Z17" s="83">
        <v>92460</v>
      </c>
      <c r="AA17" s="83">
        <v>95070</v>
      </c>
      <c r="AB17" s="83">
        <v>112287</v>
      </c>
      <c r="AC17" s="83">
        <v>116325</v>
      </c>
      <c r="AD17" s="83">
        <v>128511</v>
      </c>
      <c r="AE17" s="83">
        <v>135951</v>
      </c>
      <c r="AF17" s="83">
        <v>154551</v>
      </c>
      <c r="AG17" s="83">
        <v>157116</v>
      </c>
      <c r="AH17" s="83">
        <v>161569</v>
      </c>
      <c r="AI17" s="83">
        <v>165940</v>
      </c>
      <c r="AJ17" s="83">
        <v>182327</v>
      </c>
      <c r="AK17" s="83">
        <v>171171</v>
      </c>
      <c r="AL17" s="83">
        <v>117627</v>
      </c>
      <c r="AM17" s="83">
        <v>128553</v>
      </c>
      <c r="AN17" s="83">
        <v>131441</v>
      </c>
      <c r="AO17" s="83">
        <v>160120</v>
      </c>
      <c r="AP17" s="83">
        <v>165990.11499999996</v>
      </c>
      <c r="AQ17" s="83">
        <v>167357.85500000001</v>
      </c>
      <c r="AR17" s="83">
        <v>191462.99400000001</v>
      </c>
      <c r="AS17" s="96">
        <v>212684</v>
      </c>
      <c r="AT17" s="97">
        <v>229804.54299999998</v>
      </c>
      <c r="AU17" s="97">
        <v>285242</v>
      </c>
      <c r="AV17" s="97">
        <v>339904</v>
      </c>
      <c r="AW17" s="97">
        <v>442154</v>
      </c>
      <c r="AX17" s="73">
        <v>35.193848125600766</v>
      </c>
      <c r="AY17" s="73">
        <v>38.192562772573609</v>
      </c>
      <c r="AZ17" s="73">
        <v>44.980997202535008</v>
      </c>
      <c r="BA17" s="73">
        <v>50.051738074710258</v>
      </c>
      <c r="BB17" s="73">
        <v>71.56883428812543</v>
      </c>
      <c r="BC17" s="73">
        <v>86.077869734056407</v>
      </c>
      <c r="BD17" s="73">
        <v>101.34524649822136</v>
      </c>
      <c r="BE17" s="73">
        <v>117.71327531140095</v>
      </c>
      <c r="BF17" s="73">
        <v>119.3441415665519</v>
      </c>
      <c r="BG17" s="73">
        <v>129.54176271237924</v>
      </c>
      <c r="BH17" s="73">
        <v>142.89914730961482</v>
      </c>
      <c r="BI17" s="73">
        <v>140.88773360947329</v>
      </c>
      <c r="BJ17" s="73">
        <v>142.9856392158805</v>
      </c>
      <c r="BK17" s="73">
        <v>144.11362048640993</v>
      </c>
      <c r="BL17" s="73">
        <v>162.08281930519504</v>
      </c>
      <c r="BM17" s="73">
        <v>184.49020354566545</v>
      </c>
      <c r="BN17" s="73">
        <v>214.93687492408907</v>
      </c>
      <c r="BO17" s="73">
        <v>231.81627090149766</v>
      </c>
      <c r="BP17" s="73">
        <v>227.70060825259219</v>
      </c>
      <c r="BQ17" s="73">
        <v>224.63220094398241</v>
      </c>
      <c r="BR17" s="73">
        <v>233.08599280196776</v>
      </c>
      <c r="BS17" s="73">
        <v>232.07074066358277</v>
      </c>
      <c r="BT17" s="73">
        <v>233.27885988545856</v>
      </c>
      <c r="BU17" s="73">
        <v>269.4911715223094</v>
      </c>
      <c r="BV17" s="73">
        <v>273.19933863800765</v>
      </c>
      <c r="BW17" s="73">
        <v>295.4866835436053</v>
      </c>
      <c r="BX17" s="73">
        <v>306.16974222926871</v>
      </c>
      <c r="BY17" s="73">
        <v>341.04946785152362</v>
      </c>
      <c r="BZ17" s="73">
        <v>339.86605752258333</v>
      </c>
      <c r="CA17" s="73">
        <v>342.73344180156249</v>
      </c>
      <c r="CB17" s="73">
        <v>345.32128572558258</v>
      </c>
      <c r="CC17" s="73">
        <v>372.35200535878761</v>
      </c>
      <c r="CD17" s="73">
        <v>344.40860315873778</v>
      </c>
      <c r="CE17" s="73">
        <v>233.23115817738855</v>
      </c>
      <c r="CF17" s="73">
        <v>251.24037635496848</v>
      </c>
      <c r="CG17" s="73">
        <v>253.25325550980116</v>
      </c>
      <c r="CH17" s="73">
        <v>304.21002392547621</v>
      </c>
      <c r="CI17" s="73">
        <v>311.0271577168549</v>
      </c>
      <c r="CJ17" s="73">
        <v>309.3373976776183</v>
      </c>
      <c r="CK17" s="73">
        <v>349.15742333072592</v>
      </c>
      <c r="CL17" s="73">
        <v>382.7358222330995</v>
      </c>
      <c r="CM17" s="73">
        <v>407.60518595510399</v>
      </c>
      <c r="CN17" s="73">
        <v>498.62252211306509</v>
      </c>
      <c r="CO17" s="73">
        <v>598.0740096880163</v>
      </c>
      <c r="CP17" s="73">
        <v>770.54074165727059</v>
      </c>
    </row>
    <row r="18" spans="1:94">
      <c r="A18" s="3" t="s">
        <v>634</v>
      </c>
      <c r="B18" s="3" t="s">
        <v>715</v>
      </c>
      <c r="C18" s="3">
        <v>10</v>
      </c>
      <c r="D18" s="3" t="s">
        <v>664</v>
      </c>
      <c r="E18" s="83">
        <v>14866</v>
      </c>
      <c r="F18" s="83">
        <v>17279</v>
      </c>
      <c r="G18" s="83">
        <v>23598</v>
      </c>
      <c r="H18" s="83">
        <v>30820</v>
      </c>
      <c r="I18" s="83">
        <v>35551</v>
      </c>
      <c r="J18" s="83">
        <v>38489</v>
      </c>
      <c r="K18" s="83">
        <v>44483</v>
      </c>
      <c r="L18" s="83">
        <v>46509</v>
      </c>
      <c r="M18" s="83">
        <v>51568</v>
      </c>
      <c r="N18" s="83">
        <v>54569</v>
      </c>
      <c r="O18" s="83">
        <v>59140</v>
      </c>
      <c r="P18" s="83">
        <v>57839</v>
      </c>
      <c r="Q18" s="83">
        <v>59135</v>
      </c>
      <c r="R18" s="83">
        <v>65812</v>
      </c>
      <c r="S18" s="83">
        <v>68134</v>
      </c>
      <c r="T18" s="83">
        <v>75338</v>
      </c>
      <c r="U18" s="83">
        <v>78317</v>
      </c>
      <c r="V18" s="83">
        <v>83032</v>
      </c>
      <c r="W18" s="83">
        <v>83956</v>
      </c>
      <c r="X18" s="83">
        <v>87496</v>
      </c>
      <c r="Y18" s="83">
        <v>86951</v>
      </c>
      <c r="Z18" s="83">
        <v>95559</v>
      </c>
      <c r="AA18" s="83">
        <v>107196</v>
      </c>
      <c r="AB18" s="83">
        <v>114210</v>
      </c>
      <c r="AC18" s="83">
        <v>124003</v>
      </c>
      <c r="AD18" s="83">
        <v>133732</v>
      </c>
      <c r="AE18" s="83">
        <v>127570</v>
      </c>
      <c r="AF18" s="83">
        <v>163982</v>
      </c>
      <c r="AG18" s="83">
        <v>154783</v>
      </c>
      <c r="AH18" s="83">
        <v>160750</v>
      </c>
      <c r="AI18" s="83">
        <v>167855</v>
      </c>
      <c r="AJ18" s="83">
        <v>167549.685</v>
      </c>
      <c r="AK18" s="83">
        <v>172375</v>
      </c>
      <c r="AL18" s="83">
        <v>176787</v>
      </c>
      <c r="AM18" s="83">
        <v>190730</v>
      </c>
      <c r="AN18" s="83">
        <v>199656</v>
      </c>
      <c r="AO18" s="83">
        <v>215456</v>
      </c>
      <c r="AP18" s="83">
        <v>240890.353</v>
      </c>
      <c r="AQ18" s="83">
        <v>251771.68299999999</v>
      </c>
      <c r="AR18" s="83">
        <v>266323.79399999999</v>
      </c>
      <c r="AS18" s="96">
        <v>296859</v>
      </c>
      <c r="AT18" s="97">
        <v>307965.799</v>
      </c>
      <c r="AU18" s="97">
        <v>329419</v>
      </c>
      <c r="AV18" s="97">
        <v>351770</v>
      </c>
      <c r="AW18" s="97">
        <v>370860</v>
      </c>
      <c r="AX18" s="73">
        <v>49.154201219431549</v>
      </c>
      <c r="AY18" s="73">
        <v>55.170418770267041</v>
      </c>
      <c r="AZ18" s="73">
        <v>72.844484834715431</v>
      </c>
      <c r="BA18" s="73">
        <v>92.080371046250519</v>
      </c>
      <c r="BB18" s="73">
        <v>102.90773473882143</v>
      </c>
      <c r="BC18" s="73">
        <v>108.04779042282621</v>
      </c>
      <c r="BD18" s="73">
        <v>121.21395436035611</v>
      </c>
      <c r="BE18" s="73">
        <v>123.12554469201272</v>
      </c>
      <c r="BF18" s="73">
        <v>132.73835141685734</v>
      </c>
      <c r="BG18" s="73">
        <v>136.67849882830544</v>
      </c>
      <c r="BH18" s="73">
        <v>144.24108797877113</v>
      </c>
      <c r="BI18" s="73">
        <v>137.93854764844457</v>
      </c>
      <c r="BJ18" s="73">
        <v>137.96866358001981</v>
      </c>
      <c r="BK18" s="73">
        <v>150.28530847845306</v>
      </c>
      <c r="BL18" s="73">
        <v>152.35155908232548</v>
      </c>
      <c r="BM18" s="73">
        <v>165.02760956287443</v>
      </c>
      <c r="BN18" s="73">
        <v>168.12737209663527</v>
      </c>
      <c r="BO18" s="73">
        <v>174.75956037842627</v>
      </c>
      <c r="BP18" s="73">
        <v>173.31124493668523</v>
      </c>
      <c r="BQ18" s="73">
        <v>177.21599696414106</v>
      </c>
      <c r="BR18" s="73">
        <v>172.85550167884594</v>
      </c>
      <c r="BS18" s="73">
        <v>186.51881896203415</v>
      </c>
      <c r="BT18" s="73">
        <v>205.04113982644301</v>
      </c>
      <c r="BU18" s="73">
        <v>214.16685324929423</v>
      </c>
      <c r="BV18" s="73">
        <v>228.05182977740478</v>
      </c>
      <c r="BW18" s="73">
        <v>241.29654763266603</v>
      </c>
      <c r="BX18" s="73">
        <v>225.90916174366384</v>
      </c>
      <c r="BY18" s="73">
        <v>285.10209340065722</v>
      </c>
      <c r="BZ18" s="73">
        <v>264.29591553076375</v>
      </c>
      <c r="CA18" s="73">
        <v>269.66219002268355</v>
      </c>
      <c r="CB18" s="73">
        <v>276.71921839741401</v>
      </c>
      <c r="CC18" s="73">
        <v>271.52768031789299</v>
      </c>
      <c r="CD18" s="73">
        <v>275.31163240400423</v>
      </c>
      <c r="CE18" s="73">
        <v>278.3370775414536</v>
      </c>
      <c r="CF18" s="73">
        <v>296.07264824588634</v>
      </c>
      <c r="CG18" s="73">
        <v>305.63692829376123</v>
      </c>
      <c r="CH18" s="73">
        <v>325.31907068751752</v>
      </c>
      <c r="CI18" s="73">
        <v>358.82180335658541</v>
      </c>
      <c r="CJ18" s="73">
        <v>370.04423260809978</v>
      </c>
      <c r="CK18" s="73">
        <v>386.2965625447971</v>
      </c>
      <c r="CL18" s="73">
        <v>425.01080927851285</v>
      </c>
      <c r="CM18" s="73">
        <v>435.16187417338318</v>
      </c>
      <c r="CN18" s="73">
        <v>459.45482288159468</v>
      </c>
      <c r="CO18" s="73">
        <v>495.36628264760515</v>
      </c>
      <c r="CP18" s="73">
        <v>515.82052683627023</v>
      </c>
    </row>
    <row r="19" spans="1:94">
      <c r="A19" s="3" t="s">
        <v>716</v>
      </c>
      <c r="B19" s="3" t="s">
        <v>717</v>
      </c>
      <c r="C19" s="3">
        <v>11</v>
      </c>
      <c r="D19" s="3" t="s">
        <v>541</v>
      </c>
      <c r="E19" s="83">
        <v>19207</v>
      </c>
      <c r="F19" s="83">
        <v>20813</v>
      </c>
      <c r="G19" s="83">
        <v>21936</v>
      </c>
      <c r="H19" s="83">
        <v>23851</v>
      </c>
      <c r="I19" s="83">
        <v>26966</v>
      </c>
      <c r="J19" s="83">
        <v>28195</v>
      </c>
      <c r="K19" s="83">
        <v>35189</v>
      </c>
      <c r="L19" s="83">
        <v>41100</v>
      </c>
      <c r="M19" s="83">
        <v>46620</v>
      </c>
      <c r="N19" s="83">
        <v>53250</v>
      </c>
      <c r="O19" s="83">
        <v>59150</v>
      </c>
      <c r="P19" s="83">
        <v>57763</v>
      </c>
      <c r="Q19" s="83">
        <v>64012</v>
      </c>
      <c r="R19" s="83">
        <v>68234</v>
      </c>
      <c r="S19" s="83">
        <v>78664</v>
      </c>
      <c r="T19" s="83">
        <v>84212</v>
      </c>
      <c r="U19" s="83">
        <v>97960</v>
      </c>
      <c r="V19" s="83">
        <v>111343</v>
      </c>
      <c r="W19" s="83">
        <v>108005</v>
      </c>
      <c r="X19" s="83">
        <v>103903</v>
      </c>
      <c r="Y19" s="83">
        <v>104052</v>
      </c>
      <c r="Z19" s="83">
        <v>104158</v>
      </c>
      <c r="AA19" s="83">
        <v>112702</v>
      </c>
      <c r="AB19" s="83">
        <v>120385</v>
      </c>
      <c r="AC19" s="83">
        <v>130778</v>
      </c>
      <c r="AD19" s="83">
        <v>137649</v>
      </c>
      <c r="AE19" s="83">
        <v>140874</v>
      </c>
      <c r="AF19" s="83">
        <v>148266</v>
      </c>
      <c r="AG19" s="83">
        <v>151266</v>
      </c>
      <c r="AH19" s="83">
        <v>156218</v>
      </c>
      <c r="AI19" s="83">
        <v>162797</v>
      </c>
      <c r="AJ19" s="83">
        <v>167311.30900000001</v>
      </c>
      <c r="AK19" s="83">
        <v>159125</v>
      </c>
      <c r="AL19" s="83">
        <v>169771</v>
      </c>
      <c r="AM19" s="83">
        <v>175407</v>
      </c>
      <c r="AN19" s="83">
        <v>184796</v>
      </c>
      <c r="AO19" s="83">
        <v>196399</v>
      </c>
      <c r="AP19" s="83">
        <v>213095.03899999996</v>
      </c>
      <c r="AQ19" s="83">
        <v>231927.99600000001</v>
      </c>
      <c r="AR19" s="83">
        <v>240596.63899999994</v>
      </c>
      <c r="AS19" s="96">
        <v>246079</v>
      </c>
      <c r="AT19" s="97">
        <v>259221.89620000002</v>
      </c>
      <c r="AU19" s="97">
        <v>268350</v>
      </c>
      <c r="AV19" s="97">
        <v>283252</v>
      </c>
      <c r="AW19" s="97">
        <v>300382</v>
      </c>
      <c r="AX19" s="73">
        <v>111.64977997895703</v>
      </c>
      <c r="AY19" s="73">
        <v>118.48990134476047</v>
      </c>
      <c r="AZ19" s="73">
        <v>122.35936705132666</v>
      </c>
      <c r="BA19" s="73">
        <v>130.40580475597642</v>
      </c>
      <c r="BB19" s="73">
        <v>144.57322323336624</v>
      </c>
      <c r="BC19" s="73">
        <v>148.28196450594152</v>
      </c>
      <c r="BD19" s="73">
        <v>181.6041484747708</v>
      </c>
      <c r="BE19" s="73">
        <v>208.21649652187261</v>
      </c>
      <c r="BF19" s="73">
        <v>231.92437534139449</v>
      </c>
      <c r="BG19" s="73">
        <v>260.21699898698625</v>
      </c>
      <c r="BH19" s="73">
        <v>284.019975031211</v>
      </c>
      <c r="BI19" s="73">
        <v>271.23456547225254</v>
      </c>
      <c r="BJ19" s="73">
        <v>294.08285287748623</v>
      </c>
      <c r="BK19" s="73">
        <v>306.84919383394742</v>
      </c>
      <c r="BL19" s="73">
        <v>346.42590189793077</v>
      </c>
      <c r="BM19" s="73">
        <v>363.33299910310097</v>
      </c>
      <c r="BN19" s="73">
        <v>414.24284982842494</v>
      </c>
      <c r="BO19" s="73">
        <v>461.65377140527909</v>
      </c>
      <c r="BP19" s="73">
        <v>439.24794797332657</v>
      </c>
      <c r="BQ19" s="73">
        <v>414.63437507045887</v>
      </c>
      <c r="BR19" s="73">
        <v>407.5791739153716</v>
      </c>
      <c r="BS19" s="73">
        <v>400.61385559777841</v>
      </c>
      <c r="BT19" s="73">
        <v>425.93332353237969</v>
      </c>
      <c r="BU19" s="73">
        <v>447.18841682262013</v>
      </c>
      <c r="BV19" s="73">
        <v>477.62613478115895</v>
      </c>
      <c r="BW19" s="73">
        <v>494.4068583152187</v>
      </c>
      <c r="BX19" s="73">
        <v>497.75896458333699</v>
      </c>
      <c r="BY19" s="73">
        <v>515.49158857188957</v>
      </c>
      <c r="BZ19" s="73">
        <v>517.63591510231674</v>
      </c>
      <c r="CA19" s="73">
        <v>526.28990178850574</v>
      </c>
      <c r="CB19" s="73">
        <v>540.07707851399095</v>
      </c>
      <c r="CC19" s="73">
        <v>546.70287906364263</v>
      </c>
      <c r="CD19" s="73">
        <v>513.35209026970267</v>
      </c>
      <c r="CE19" s="73">
        <v>540.83062391327599</v>
      </c>
      <c r="CF19" s="73">
        <v>551.86622918907881</v>
      </c>
      <c r="CG19" s="73">
        <v>574.29517260274281</v>
      </c>
      <c r="CH19" s="73">
        <v>602.97950761867264</v>
      </c>
      <c r="CI19" s="73">
        <v>646.42879515092488</v>
      </c>
      <c r="CJ19" s="73">
        <v>695.25883814178644</v>
      </c>
      <c r="CK19" s="73">
        <v>712.83550548742846</v>
      </c>
      <c r="CL19" s="73">
        <v>720.67557752682637</v>
      </c>
      <c r="CM19" s="73">
        <v>750.60850386131142</v>
      </c>
      <c r="CN19" s="73">
        <v>768.38277402359415</v>
      </c>
      <c r="CO19" s="73">
        <v>841.2442902710377</v>
      </c>
      <c r="CP19" s="73">
        <v>883.74939319495729</v>
      </c>
    </row>
    <row r="20" spans="1:94">
      <c r="A20" s="3" t="s">
        <v>718</v>
      </c>
      <c r="B20" s="3" t="s">
        <v>719</v>
      </c>
      <c r="C20" s="3">
        <v>12</v>
      </c>
      <c r="D20" s="3" t="s">
        <v>664</v>
      </c>
      <c r="E20" s="83">
        <v>8758</v>
      </c>
      <c r="F20" s="83">
        <v>8636</v>
      </c>
      <c r="G20" s="83">
        <v>10650</v>
      </c>
      <c r="H20" s="83">
        <v>12844</v>
      </c>
      <c r="I20" s="83">
        <v>15265</v>
      </c>
      <c r="J20" s="83">
        <v>18583</v>
      </c>
      <c r="K20" s="83">
        <v>21331</v>
      </c>
      <c r="L20" s="83">
        <v>23389</v>
      </c>
      <c r="M20" s="83">
        <v>24937</v>
      </c>
      <c r="N20" s="83">
        <v>26095</v>
      </c>
      <c r="O20" s="83">
        <v>32442</v>
      </c>
      <c r="P20" s="83">
        <v>29790</v>
      </c>
      <c r="Q20" s="83">
        <v>30360</v>
      </c>
      <c r="R20" s="83">
        <v>31494</v>
      </c>
      <c r="S20" s="83">
        <v>34491</v>
      </c>
      <c r="T20" s="83">
        <v>37840</v>
      </c>
      <c r="U20" s="83">
        <v>41724</v>
      </c>
      <c r="V20" s="83">
        <v>50064</v>
      </c>
      <c r="W20" s="83">
        <v>52114</v>
      </c>
      <c r="X20" s="83">
        <v>51138</v>
      </c>
      <c r="Y20" s="83">
        <v>56451</v>
      </c>
      <c r="Z20" s="83">
        <v>62226</v>
      </c>
      <c r="AA20" s="83">
        <v>67890</v>
      </c>
      <c r="AB20" s="83">
        <v>77253</v>
      </c>
      <c r="AC20" s="83">
        <v>77253</v>
      </c>
      <c r="AD20" s="83">
        <v>90748</v>
      </c>
      <c r="AE20" s="83">
        <v>101852</v>
      </c>
      <c r="AF20" s="83">
        <v>110687</v>
      </c>
      <c r="AG20" s="83">
        <v>121170</v>
      </c>
      <c r="AH20" s="83">
        <v>139771</v>
      </c>
      <c r="AI20" s="83">
        <v>146406</v>
      </c>
      <c r="AJ20" s="83">
        <v>162432</v>
      </c>
      <c r="AK20" s="83">
        <v>152443</v>
      </c>
      <c r="AL20" s="83">
        <v>168883</v>
      </c>
      <c r="AM20" s="83">
        <v>181806</v>
      </c>
      <c r="AN20" s="83">
        <v>195343</v>
      </c>
      <c r="AO20" s="83">
        <v>219288</v>
      </c>
      <c r="AP20" s="83">
        <v>258248.39300000001</v>
      </c>
      <c r="AQ20" s="83">
        <v>289729.55499999993</v>
      </c>
      <c r="AR20" s="83">
        <v>308985.97400000005</v>
      </c>
      <c r="AS20" s="96">
        <v>348381</v>
      </c>
      <c r="AT20" s="97">
        <v>353475.53099999996</v>
      </c>
      <c r="AU20" s="97">
        <v>405799</v>
      </c>
      <c r="AV20" s="97">
        <v>445746</v>
      </c>
      <c r="AW20" s="97">
        <v>463621</v>
      </c>
      <c r="AX20" s="73">
        <v>64.285032700367736</v>
      </c>
      <c r="AY20" s="73">
        <v>62.113856223253137</v>
      </c>
      <c r="AZ20" s="73">
        <v>75.088308080630043</v>
      </c>
      <c r="BA20" s="73">
        <v>88.805304533606218</v>
      </c>
      <c r="BB20" s="73">
        <v>103.5413656743246</v>
      </c>
      <c r="BC20" s="73">
        <v>123.6994681382175</v>
      </c>
      <c r="BD20" s="73">
        <v>139.39552360725372</v>
      </c>
      <c r="BE20" s="73">
        <v>150.09979271352753</v>
      </c>
      <c r="BF20" s="73">
        <v>157.21121415197231</v>
      </c>
      <c r="BG20" s="73">
        <v>161.66002762995683</v>
      </c>
      <c r="BH20" s="73">
        <v>197.555673285957</v>
      </c>
      <c r="BI20" s="73">
        <v>175.90326088272261</v>
      </c>
      <c r="BJ20" s="73">
        <v>173.99087441933554</v>
      </c>
      <c r="BK20" s="73">
        <v>175.32768585269133</v>
      </c>
      <c r="BL20" s="73">
        <v>186.67312670099534</v>
      </c>
      <c r="BM20" s="73">
        <v>199.2582894528912</v>
      </c>
      <c r="BN20" s="73">
        <v>213.92345115068451</v>
      </c>
      <c r="BO20" s="73">
        <v>250.0959390482067</v>
      </c>
      <c r="BP20" s="73">
        <v>253.82258349834675</v>
      </c>
      <c r="BQ20" s="73">
        <v>242.98886279663179</v>
      </c>
      <c r="BR20" s="73">
        <v>261.84235884940762</v>
      </c>
      <c r="BS20" s="73">
        <v>281.91130300051191</v>
      </c>
      <c r="BT20" s="73">
        <v>297.61200232513488</v>
      </c>
      <c r="BU20" s="73">
        <v>328.03459494714707</v>
      </c>
      <c r="BV20" s="73">
        <v>318.05834260367067</v>
      </c>
      <c r="BW20" s="73">
        <v>362.59140901132423</v>
      </c>
      <c r="BX20" s="73">
        <v>395.29152420021501</v>
      </c>
      <c r="BY20" s="73">
        <v>417.60831360748057</v>
      </c>
      <c r="BZ20" s="73">
        <v>444.76402950264395</v>
      </c>
      <c r="CA20" s="73">
        <v>499.49718286605048</v>
      </c>
      <c r="CB20" s="73">
        <v>509.75209097727026</v>
      </c>
      <c r="CC20" s="73">
        <v>551.37017688571166</v>
      </c>
      <c r="CD20" s="73">
        <v>505.87141422490777</v>
      </c>
      <c r="CE20" s="73">
        <v>548.14760527075725</v>
      </c>
      <c r="CF20" s="73">
        <v>577.44054273808308</v>
      </c>
      <c r="CG20" s="73">
        <v>607.412980036308</v>
      </c>
      <c r="CH20" s="73">
        <v>667.85103773985145</v>
      </c>
      <c r="CI20" s="73">
        <v>770.66297720972011</v>
      </c>
      <c r="CJ20" s="73">
        <v>847.53582813808623</v>
      </c>
      <c r="CK20" s="73">
        <v>886.36335771631707</v>
      </c>
      <c r="CL20" s="73">
        <v>980.38834951456306</v>
      </c>
      <c r="CM20" s="73">
        <v>975.0995332439544</v>
      </c>
      <c r="CN20" s="73">
        <v>1097.5638782128435</v>
      </c>
      <c r="CO20" s="73">
        <v>1246.7861578223071</v>
      </c>
      <c r="CP20" s="73">
        <v>1278.5841342507686</v>
      </c>
    </row>
    <row r="21" spans="1:94">
      <c r="A21" s="3" t="s">
        <v>711</v>
      </c>
      <c r="B21" s="3" t="s">
        <v>712</v>
      </c>
      <c r="C21" s="3">
        <v>13</v>
      </c>
      <c r="D21" s="3" t="s">
        <v>713</v>
      </c>
      <c r="E21" s="83">
        <v>162355</v>
      </c>
      <c r="F21" s="83">
        <v>171402</v>
      </c>
      <c r="G21" s="83">
        <v>187866</v>
      </c>
      <c r="H21" s="83">
        <v>210929</v>
      </c>
      <c r="I21" s="83">
        <v>228821</v>
      </c>
      <c r="J21" s="83">
        <v>253144</v>
      </c>
      <c r="K21" s="83">
        <v>281488</v>
      </c>
      <c r="L21" s="83">
        <v>271957</v>
      </c>
      <c r="M21" s="83">
        <v>282545</v>
      </c>
      <c r="N21" s="83">
        <v>297223</v>
      </c>
      <c r="O21" s="83">
        <v>325364</v>
      </c>
      <c r="P21" s="83">
        <v>326315</v>
      </c>
      <c r="Q21" s="83">
        <v>306239</v>
      </c>
      <c r="R21" s="83">
        <v>313638</v>
      </c>
      <c r="S21" s="83">
        <v>337901</v>
      </c>
      <c r="T21" s="83">
        <v>343080</v>
      </c>
      <c r="U21" s="83">
        <v>382399</v>
      </c>
      <c r="V21" s="83">
        <v>413316</v>
      </c>
      <c r="W21" s="83">
        <v>404028</v>
      </c>
      <c r="X21" s="83">
        <v>385178</v>
      </c>
      <c r="Y21" s="83">
        <v>413777</v>
      </c>
      <c r="Z21" s="83">
        <v>456292</v>
      </c>
      <c r="AA21" s="83">
        <v>521388</v>
      </c>
      <c r="AB21" s="83">
        <v>561173</v>
      </c>
      <c r="AC21" s="83">
        <v>597288</v>
      </c>
      <c r="AD21" s="83">
        <v>622138</v>
      </c>
      <c r="AE21" s="83">
        <v>626600</v>
      </c>
      <c r="AF21" s="83">
        <v>650690</v>
      </c>
      <c r="AG21" s="83">
        <v>656322</v>
      </c>
      <c r="AH21" s="83">
        <v>653460</v>
      </c>
      <c r="AI21" s="83">
        <v>685044</v>
      </c>
      <c r="AJ21" s="83">
        <v>713238</v>
      </c>
      <c r="AK21" s="83">
        <v>681154</v>
      </c>
      <c r="AL21" s="83">
        <v>697495</v>
      </c>
      <c r="AM21" s="83">
        <v>752300</v>
      </c>
      <c r="AN21" s="83">
        <v>812414</v>
      </c>
      <c r="AO21" s="83">
        <v>913208</v>
      </c>
      <c r="AP21" s="83">
        <v>993938.95600000001</v>
      </c>
      <c r="AQ21" s="83">
        <v>1069414.5449999999</v>
      </c>
      <c r="AR21" s="83">
        <v>1127434.757</v>
      </c>
      <c r="AS21" s="96">
        <v>1196236</v>
      </c>
      <c r="AT21" s="97">
        <v>1227185.3230000001</v>
      </c>
      <c r="AU21" s="97">
        <v>1314941</v>
      </c>
      <c r="AV21" s="97">
        <v>1423914</v>
      </c>
      <c r="AW21" s="97">
        <v>1467855</v>
      </c>
      <c r="AX21" s="73">
        <v>166.84736531099864</v>
      </c>
      <c r="AY21" s="73">
        <v>172.19577084486357</v>
      </c>
      <c r="AZ21" s="73">
        <v>184.59758892945072</v>
      </c>
      <c r="BA21" s="73">
        <v>202.81227040725815</v>
      </c>
      <c r="BB21" s="73">
        <v>215.39414735184587</v>
      </c>
      <c r="BC21" s="73">
        <v>233.38740600091364</v>
      </c>
      <c r="BD21" s="73">
        <v>254.2876624664805</v>
      </c>
      <c r="BE21" s="73">
        <v>240.82290864257919</v>
      </c>
      <c r="BF21" s="73">
        <v>245.35050183336642</v>
      </c>
      <c r="BG21" s="73">
        <v>253.19003704449233</v>
      </c>
      <c r="BH21" s="73">
        <v>271.99162701424814</v>
      </c>
      <c r="BI21" s="73">
        <v>268.37600258050213</v>
      </c>
      <c r="BJ21" s="73">
        <v>247.85708221308025</v>
      </c>
      <c r="BK21" s="73">
        <v>249.86972258978028</v>
      </c>
      <c r="BL21" s="73">
        <v>265.04835215950231</v>
      </c>
      <c r="BM21" s="73">
        <v>265.02389139242445</v>
      </c>
      <c r="BN21" s="73">
        <v>290.978235775472</v>
      </c>
      <c r="BO21" s="73">
        <v>309.86843658944997</v>
      </c>
      <c r="BP21" s="73">
        <v>298.50545573267704</v>
      </c>
      <c r="BQ21" s="73">
        <v>280.50435116082053</v>
      </c>
      <c r="BR21" s="73">
        <v>297.07824749415141</v>
      </c>
      <c r="BS21" s="73">
        <v>323.04292942701528</v>
      </c>
      <c r="BT21" s="73">
        <v>364.13964650822618</v>
      </c>
      <c r="BU21" s="73">
        <v>386.69860919620703</v>
      </c>
      <c r="BV21" s="73">
        <v>406.1680851554313</v>
      </c>
      <c r="BW21" s="73">
        <v>417.5708112138131</v>
      </c>
      <c r="BX21" s="73">
        <v>415.17241150834599</v>
      </c>
      <c r="BY21" s="73">
        <v>425.6751965253589</v>
      </c>
      <c r="BZ21" s="73">
        <v>423.99127471614111</v>
      </c>
      <c r="CA21" s="73">
        <v>416.92948337009898</v>
      </c>
      <c r="CB21" s="73">
        <v>431.74959476443019</v>
      </c>
      <c r="CC21" s="73">
        <v>444.10170707287068</v>
      </c>
      <c r="CD21" s="73">
        <v>419.4907376016011</v>
      </c>
      <c r="CE21" s="73">
        <v>424.91210196111592</v>
      </c>
      <c r="CF21" s="73">
        <v>453.39917696266906</v>
      </c>
      <c r="CG21" s="73">
        <v>484.44934848529306</v>
      </c>
      <c r="CH21" s="73">
        <v>538.85333345606716</v>
      </c>
      <c r="CI21" s="73">
        <v>580.41427423292293</v>
      </c>
      <c r="CJ21" s="73">
        <v>618.08552663823377</v>
      </c>
      <c r="CK21" s="73">
        <v>645.00589063190728</v>
      </c>
      <c r="CL21" s="73">
        <v>677.49117198141232</v>
      </c>
      <c r="CM21" s="73">
        <v>688.13834426506207</v>
      </c>
      <c r="CN21" s="73">
        <v>730.15972613617123</v>
      </c>
      <c r="CO21" s="73">
        <v>773.10454427240984</v>
      </c>
      <c r="CP21" s="73">
        <v>787.55655756571616</v>
      </c>
    </row>
    <row r="22" spans="1:94">
      <c r="A22" s="3" t="s">
        <v>714</v>
      </c>
      <c r="B22" s="3" t="s">
        <v>530</v>
      </c>
      <c r="C22" s="3">
        <v>14</v>
      </c>
      <c r="D22" s="3" t="s">
        <v>641</v>
      </c>
      <c r="E22" s="83">
        <v>18720</v>
      </c>
      <c r="F22" s="83">
        <v>20971</v>
      </c>
      <c r="G22" s="83">
        <v>23269</v>
      </c>
      <c r="H22" s="83">
        <v>27167</v>
      </c>
      <c r="I22" s="83">
        <v>33372</v>
      </c>
      <c r="J22" s="83">
        <v>40438</v>
      </c>
      <c r="K22" s="83">
        <v>47888</v>
      </c>
      <c r="L22" s="83">
        <v>55549</v>
      </c>
      <c r="M22" s="83">
        <v>59031</v>
      </c>
      <c r="N22" s="83">
        <v>67791</v>
      </c>
      <c r="O22" s="83">
        <v>77933</v>
      </c>
      <c r="P22" s="83">
        <v>83765</v>
      </c>
      <c r="Q22" s="83">
        <v>77964</v>
      </c>
      <c r="R22" s="83">
        <v>91433</v>
      </c>
      <c r="S22" s="83">
        <v>110308</v>
      </c>
      <c r="T22" s="83">
        <v>130412</v>
      </c>
      <c r="U22" s="83">
        <v>142460</v>
      </c>
      <c r="V22" s="83">
        <v>153706</v>
      </c>
      <c r="W22" s="83">
        <v>161856</v>
      </c>
      <c r="X22" s="83">
        <v>157856</v>
      </c>
      <c r="Y22" s="83">
        <v>179501</v>
      </c>
      <c r="Z22" s="83">
        <v>193666</v>
      </c>
      <c r="AA22" s="83">
        <v>213933</v>
      </c>
      <c r="AB22" s="83">
        <v>241641</v>
      </c>
      <c r="AC22" s="83">
        <v>261719</v>
      </c>
      <c r="AD22" s="83">
        <v>270278</v>
      </c>
      <c r="AE22" s="83">
        <v>278783</v>
      </c>
      <c r="AF22" s="83">
        <v>284946</v>
      </c>
      <c r="AG22" s="83">
        <v>315759</v>
      </c>
      <c r="AH22" s="83">
        <v>343945</v>
      </c>
      <c r="AI22" s="83">
        <v>334007</v>
      </c>
      <c r="AJ22" s="83">
        <v>339059</v>
      </c>
      <c r="AK22" s="83">
        <v>321244</v>
      </c>
      <c r="AL22" s="83">
        <v>339915</v>
      </c>
      <c r="AM22" s="83">
        <v>372250</v>
      </c>
      <c r="AN22" s="83">
        <v>410138</v>
      </c>
      <c r="AO22" s="83">
        <v>465655</v>
      </c>
      <c r="AP22" s="83">
        <v>543862.81900000002</v>
      </c>
      <c r="AQ22" s="83">
        <v>561875.33799999999</v>
      </c>
      <c r="AR22" s="83">
        <v>599721.93799999997</v>
      </c>
      <c r="AS22" s="96">
        <v>645031</v>
      </c>
      <c r="AT22" s="97">
        <v>711844.06856274127</v>
      </c>
      <c r="AU22" s="97">
        <v>801952</v>
      </c>
      <c r="AV22" s="97">
        <v>832886</v>
      </c>
      <c r="AW22" s="97">
        <v>939563</v>
      </c>
      <c r="AX22" s="73">
        <v>42.255428648819468</v>
      </c>
      <c r="AY22" s="73">
        <v>45.826661978599077</v>
      </c>
      <c r="AZ22" s="73">
        <v>49.276658716837417</v>
      </c>
      <c r="BA22" s="73">
        <v>55.80649912460192</v>
      </c>
      <c r="BB22" s="73">
        <v>66.557266931895867</v>
      </c>
      <c r="BC22" s="73">
        <v>78.368444869510284</v>
      </c>
      <c r="BD22" s="73">
        <v>90.253530852768463</v>
      </c>
      <c r="BE22" s="73">
        <v>101.88926830816197</v>
      </c>
      <c r="BF22" s="73">
        <v>105.45287338581056</v>
      </c>
      <c r="BG22" s="73">
        <v>118.0243855431923</v>
      </c>
      <c r="BH22" s="73">
        <v>132.31925864677231</v>
      </c>
      <c r="BI22" s="73">
        <v>137.96353664819804</v>
      </c>
      <c r="BJ22" s="73">
        <v>124.67669837219862</v>
      </c>
      <c r="BK22" s="73">
        <v>142.08579863841112</v>
      </c>
      <c r="BL22" s="73">
        <v>166.70854732531305</v>
      </c>
      <c r="BM22" s="73">
        <v>191.82243536741376</v>
      </c>
      <c r="BN22" s="73">
        <v>204.08745366576579</v>
      </c>
      <c r="BO22" s="73">
        <v>214.61015910872095</v>
      </c>
      <c r="BP22" s="73">
        <v>220.39622326909765</v>
      </c>
      <c r="BQ22" s="73">
        <v>209.75795450063796</v>
      </c>
      <c r="BR22" s="73">
        <v>232.89471782412622</v>
      </c>
      <c r="BS22" s="73">
        <v>245.48398750182213</v>
      </c>
      <c r="BT22" s="73">
        <v>265.1468251799318</v>
      </c>
      <c r="BU22" s="73">
        <v>292.97645092094911</v>
      </c>
      <c r="BV22" s="73">
        <v>310.56758543459512</v>
      </c>
      <c r="BW22" s="73">
        <v>314.04150518878765</v>
      </c>
      <c r="BX22" s="73">
        <v>317.31215210058542</v>
      </c>
      <c r="BY22" s="73">
        <v>317.83960179755064</v>
      </c>
      <c r="BZ22" s="73">
        <v>345.30272097349956</v>
      </c>
      <c r="CA22" s="73">
        <v>368.89190532462635</v>
      </c>
      <c r="CB22" s="73">
        <v>351.47321540847332</v>
      </c>
      <c r="CC22" s="73">
        <v>350.1814636484005</v>
      </c>
      <c r="CD22" s="73">
        <v>326.41783032859217</v>
      </c>
      <c r="CE22" s="73">
        <v>339.89416448771686</v>
      </c>
      <c r="CF22" s="73">
        <v>366.39753221788374</v>
      </c>
      <c r="CG22" s="73">
        <v>397.46494933009473</v>
      </c>
      <c r="CH22" s="73">
        <v>444.4136708633157</v>
      </c>
      <c r="CI22" s="73">
        <v>511.28958229138078</v>
      </c>
      <c r="CJ22" s="73">
        <v>520.43820430471953</v>
      </c>
      <c r="CK22" s="73">
        <v>547.42565365316352</v>
      </c>
      <c r="CL22" s="73">
        <v>580.35454809648354</v>
      </c>
      <c r="CM22" s="73">
        <v>630.83590646938205</v>
      </c>
      <c r="CN22" s="73">
        <v>700.02793296089385</v>
      </c>
      <c r="CO22" s="73">
        <v>718.34886518981068</v>
      </c>
      <c r="CP22" s="73">
        <v>799.93989146407705</v>
      </c>
    </row>
    <row r="23" spans="1:94">
      <c r="A23" s="3" t="s">
        <v>620</v>
      </c>
      <c r="B23" s="3" t="s">
        <v>621</v>
      </c>
      <c r="C23" s="3">
        <v>15</v>
      </c>
      <c r="D23" s="3" t="s">
        <v>541</v>
      </c>
      <c r="E23" s="83">
        <v>12636</v>
      </c>
      <c r="F23" s="83">
        <v>16319</v>
      </c>
      <c r="G23" s="83">
        <v>18464</v>
      </c>
      <c r="H23" s="83">
        <v>19821</v>
      </c>
      <c r="I23" s="83">
        <v>22786</v>
      </c>
      <c r="J23" s="83">
        <v>29262</v>
      </c>
      <c r="K23" s="83">
        <v>33541</v>
      </c>
      <c r="L23" s="83">
        <v>37138</v>
      </c>
      <c r="M23" s="83">
        <v>40761</v>
      </c>
      <c r="N23" s="83">
        <v>46847</v>
      </c>
      <c r="O23" s="83">
        <v>55418</v>
      </c>
      <c r="P23" s="83">
        <v>58741</v>
      </c>
      <c r="Q23" s="83">
        <v>56581</v>
      </c>
      <c r="R23" s="83">
        <v>63514</v>
      </c>
      <c r="S23" s="83">
        <v>72485</v>
      </c>
      <c r="T23" s="83">
        <v>78140</v>
      </c>
      <c r="U23" s="83">
        <v>98979</v>
      </c>
      <c r="V23" s="83">
        <v>109353</v>
      </c>
      <c r="W23" s="83">
        <v>115465</v>
      </c>
      <c r="X23" s="83">
        <v>115201</v>
      </c>
      <c r="Y23" s="83">
        <v>123174</v>
      </c>
      <c r="Z23" s="83">
        <v>137134</v>
      </c>
      <c r="AA23" s="83">
        <v>156483</v>
      </c>
      <c r="AB23" s="83">
        <v>218966</v>
      </c>
      <c r="AC23" s="83">
        <v>189761</v>
      </c>
      <c r="AD23" s="83">
        <v>200192</v>
      </c>
      <c r="AE23" s="83">
        <v>209270</v>
      </c>
      <c r="AF23" s="83">
        <v>203758</v>
      </c>
      <c r="AG23" s="83">
        <v>228579</v>
      </c>
      <c r="AH23" s="83">
        <v>250277</v>
      </c>
      <c r="AI23" s="83">
        <v>236504</v>
      </c>
      <c r="AJ23" s="83">
        <v>246188</v>
      </c>
      <c r="AK23" s="83">
        <v>252751</v>
      </c>
      <c r="AL23" s="83">
        <v>270373</v>
      </c>
      <c r="AM23" s="83">
        <v>286482</v>
      </c>
      <c r="AN23" s="83">
        <v>306855</v>
      </c>
      <c r="AO23" s="83">
        <v>334329</v>
      </c>
      <c r="AP23" s="83">
        <v>352052.24100000004</v>
      </c>
      <c r="AQ23" s="83">
        <v>392625.32699999999</v>
      </c>
      <c r="AR23" s="83">
        <v>398144.7429999999</v>
      </c>
      <c r="AS23" s="96">
        <v>404812</v>
      </c>
      <c r="AT23" s="97">
        <v>417995.04500000004</v>
      </c>
      <c r="AU23" s="97">
        <v>432749</v>
      </c>
      <c r="AV23" s="97">
        <v>452878</v>
      </c>
      <c r="AW23" s="97">
        <v>474734</v>
      </c>
      <c r="AX23" s="73">
        <v>81.749369217830107</v>
      </c>
      <c r="AY23" s="73">
        <v>99.811618490746056</v>
      </c>
      <c r="AZ23" s="73">
        <v>107.08361847981163</v>
      </c>
      <c r="BA23" s="73">
        <v>109.29452893236433</v>
      </c>
      <c r="BB23" s="73">
        <v>119.74858368106284</v>
      </c>
      <c r="BC23" s="73">
        <v>146.89021635460068</v>
      </c>
      <c r="BD23" s="73">
        <v>161.14789226378653</v>
      </c>
      <c r="BE23" s="73">
        <v>171.09082030350217</v>
      </c>
      <c r="BF23" s="73">
        <v>180.36319548306594</v>
      </c>
      <c r="BG23" s="73">
        <v>199.41512502021948</v>
      </c>
      <c r="BH23" s="73">
        <v>227.26266147221651</v>
      </c>
      <c r="BI23" s="73">
        <v>228.53728473303943</v>
      </c>
      <c r="BJ23" s="73">
        <v>209.39596918032993</v>
      </c>
      <c r="BK23" s="73">
        <v>224.12158587211823</v>
      </c>
      <c r="BL23" s="73">
        <v>244.41020195191646</v>
      </c>
      <c r="BM23" s="73">
        <v>252.26685041834844</v>
      </c>
      <c r="BN23" s="73">
        <v>306.50140072988819</v>
      </c>
      <c r="BO23" s="73">
        <v>325.34699529094348</v>
      </c>
      <c r="BP23" s="73">
        <v>330.56852289106502</v>
      </c>
      <c r="BQ23" s="73">
        <v>317.82001639021121</v>
      </c>
      <c r="BR23" s="73">
        <v>327.89326461170668</v>
      </c>
      <c r="BS23" s="73">
        <v>352.68097100811917</v>
      </c>
      <c r="BT23" s="73">
        <v>392.55435398853467</v>
      </c>
      <c r="BU23" s="73">
        <v>536.12658665469212</v>
      </c>
      <c r="BV23" s="73">
        <v>453.73834814861573</v>
      </c>
      <c r="BW23" s="73">
        <v>467.72585963831801</v>
      </c>
      <c r="BX23" s="73">
        <v>477.99710374001268</v>
      </c>
      <c r="BY23" s="73">
        <v>455.22280354405245</v>
      </c>
      <c r="BZ23" s="73">
        <v>499.74070563049196</v>
      </c>
      <c r="CA23" s="73">
        <v>535.70732922679383</v>
      </c>
      <c r="CB23" s="73">
        <v>495.83172950729619</v>
      </c>
      <c r="CC23" s="73">
        <v>505.74901546697782</v>
      </c>
      <c r="CD23" s="73">
        <v>510.09581064963226</v>
      </c>
      <c r="CE23" s="73">
        <v>536.2253840730948</v>
      </c>
      <c r="CF23" s="73">
        <v>558.51702988378622</v>
      </c>
      <c r="CG23" s="73">
        <v>588.23761705709092</v>
      </c>
      <c r="CH23" s="73">
        <v>630.36988774393456</v>
      </c>
      <c r="CI23" s="73">
        <v>653.05192567286872</v>
      </c>
      <c r="CJ23" s="73">
        <v>716.72359316836696</v>
      </c>
      <c r="CK23" s="73">
        <v>715.41357011645971</v>
      </c>
      <c r="CL23" s="73">
        <v>716.17466501073875</v>
      </c>
      <c r="CM23" s="73">
        <v>728.32094766481509</v>
      </c>
      <c r="CN23" s="73">
        <v>742.84022246635539</v>
      </c>
      <c r="CO23" s="73">
        <v>753.53700397502178</v>
      </c>
      <c r="CP23" s="73">
        <v>777.6800355148423</v>
      </c>
    </row>
    <row r="24" spans="1:94">
      <c r="A24" s="3" t="s">
        <v>622</v>
      </c>
      <c r="B24" s="3" t="s">
        <v>925</v>
      </c>
      <c r="C24" s="3">
        <v>16</v>
      </c>
      <c r="D24" s="3" t="s">
        <v>541</v>
      </c>
      <c r="E24" s="83">
        <v>28665</v>
      </c>
      <c r="F24" s="83">
        <v>29635</v>
      </c>
      <c r="G24" s="83">
        <v>33734</v>
      </c>
      <c r="H24" s="83">
        <v>37956</v>
      </c>
      <c r="I24" s="83">
        <v>44315</v>
      </c>
      <c r="J24" s="83">
        <v>57819</v>
      </c>
      <c r="K24" s="83">
        <v>62727</v>
      </c>
      <c r="L24" s="83">
        <v>76461</v>
      </c>
      <c r="M24" s="83">
        <v>85276</v>
      </c>
      <c r="N24" s="83">
        <v>92031</v>
      </c>
      <c r="O24" s="83">
        <v>97742</v>
      </c>
      <c r="P24" s="83">
        <v>96508</v>
      </c>
      <c r="Q24" s="83">
        <v>94114</v>
      </c>
      <c r="R24" s="83">
        <v>98231</v>
      </c>
      <c r="S24" s="83">
        <v>114470</v>
      </c>
      <c r="T24" s="83">
        <v>125786</v>
      </c>
      <c r="U24" s="83">
        <v>141548</v>
      </c>
      <c r="V24" s="83">
        <v>154321</v>
      </c>
      <c r="W24" s="83">
        <v>155818</v>
      </c>
      <c r="X24" s="83">
        <v>157230</v>
      </c>
      <c r="Y24" s="83">
        <v>159996</v>
      </c>
      <c r="Z24" s="83">
        <v>179431</v>
      </c>
      <c r="AA24" s="83">
        <v>190071</v>
      </c>
      <c r="AB24" s="83">
        <v>209785</v>
      </c>
      <c r="AC24" s="83">
        <v>216056</v>
      </c>
      <c r="AD24" s="83">
        <v>219241</v>
      </c>
      <c r="AE24" s="83">
        <v>223530</v>
      </c>
      <c r="AF24" s="83">
        <v>228306</v>
      </c>
      <c r="AG24" s="83">
        <v>225835</v>
      </c>
      <c r="AH24" s="83">
        <v>241738</v>
      </c>
      <c r="AI24" s="83">
        <v>243376</v>
      </c>
      <c r="AJ24" s="83">
        <v>248623</v>
      </c>
      <c r="AK24" s="83">
        <v>245500</v>
      </c>
      <c r="AL24" s="83">
        <v>260925</v>
      </c>
      <c r="AM24" s="83">
        <v>277252</v>
      </c>
      <c r="AN24" s="83">
        <v>296701</v>
      </c>
      <c r="AO24" s="83">
        <v>321439</v>
      </c>
      <c r="AP24" s="83">
        <v>348903.09699999995</v>
      </c>
      <c r="AQ24" s="83">
        <v>379704.64199999999</v>
      </c>
      <c r="AR24" s="83">
        <v>397820.81899999996</v>
      </c>
      <c r="AS24" s="96">
        <v>412792</v>
      </c>
      <c r="AT24" s="97">
        <v>435433.72500000003</v>
      </c>
      <c r="AU24" s="97">
        <v>455637</v>
      </c>
      <c r="AV24" s="97">
        <v>480231</v>
      </c>
      <c r="AW24" s="97">
        <v>517072</v>
      </c>
      <c r="AX24" s="73">
        <v>109.14927157663867</v>
      </c>
      <c r="AY24" s="73">
        <v>107.883210190786</v>
      </c>
      <c r="AZ24" s="73">
        <v>117.63499744044321</v>
      </c>
      <c r="BA24" s="73">
        <v>127.01042960551678</v>
      </c>
      <c r="BB24" s="73">
        <v>142.53100849493174</v>
      </c>
      <c r="BC24" s="73">
        <v>179.01284258238695</v>
      </c>
      <c r="BD24" s="73">
        <v>187.21057526207153</v>
      </c>
      <c r="BE24" s="73">
        <v>220.26339077890293</v>
      </c>
      <c r="BF24" s="73">
        <v>237.4003222648964</v>
      </c>
      <c r="BG24" s="73">
        <v>247.87438510151884</v>
      </c>
      <c r="BH24" s="73">
        <v>254.96538447492395</v>
      </c>
      <c r="BI24" s="73">
        <v>244.58794554590571</v>
      </c>
      <c r="BJ24" s="73">
        <v>231.92576404105299</v>
      </c>
      <c r="BK24" s="73">
        <v>235.55834949688074</v>
      </c>
      <c r="BL24" s="73">
        <v>267.30758215026123</v>
      </c>
      <c r="BM24" s="73">
        <v>286.23305390798367</v>
      </c>
      <c r="BN24" s="73">
        <v>314.08144767343572</v>
      </c>
      <c r="BO24" s="73">
        <v>334.10571324645014</v>
      </c>
      <c r="BP24" s="73">
        <v>329.34657937101855</v>
      </c>
      <c r="BQ24" s="73">
        <v>324.63244867635939</v>
      </c>
      <c r="BR24" s="73">
        <v>322.86408264816833</v>
      </c>
      <c r="BS24" s="73">
        <v>354.06652301232111</v>
      </c>
      <c r="BT24" s="73">
        <v>370.19544081792759</v>
      </c>
      <c r="BU24" s="73">
        <v>403.35791595558049</v>
      </c>
      <c r="BV24" s="73">
        <v>410.16131487933944</v>
      </c>
      <c r="BW24" s="73">
        <v>411.00946944701064</v>
      </c>
      <c r="BX24" s="73">
        <v>413.88082942806938</v>
      </c>
      <c r="BY24" s="73">
        <v>417.57293891194655</v>
      </c>
      <c r="BZ24" s="73">
        <v>408.08091832526992</v>
      </c>
      <c r="CA24" s="73">
        <v>431.6213556315144</v>
      </c>
      <c r="CB24" s="73">
        <v>429.43769874921435</v>
      </c>
      <c r="CC24" s="73">
        <v>433.59888662943808</v>
      </c>
      <c r="CD24" s="73">
        <v>425.64766626920482</v>
      </c>
      <c r="CE24" s="73">
        <v>449.76040530199651</v>
      </c>
      <c r="CF24" s="73">
        <v>475.14008733911527</v>
      </c>
      <c r="CG24" s="73">
        <v>505.54750900355452</v>
      </c>
      <c r="CH24" s="73">
        <v>544.56767656862201</v>
      </c>
      <c r="CI24" s="73">
        <v>587.73647107591546</v>
      </c>
      <c r="CJ24" s="73">
        <v>636.00756084316993</v>
      </c>
      <c r="CK24" s="73">
        <v>662.60743801384456</v>
      </c>
      <c r="CL24" s="73">
        <v>683.70100089273728</v>
      </c>
      <c r="CM24" s="73">
        <v>717.70136606527717</v>
      </c>
      <c r="CN24" s="73">
        <v>747.49365518666957</v>
      </c>
      <c r="CO24" s="73">
        <v>707.47366296551104</v>
      </c>
      <c r="CP24" s="73">
        <v>750.60569945403574</v>
      </c>
    </row>
    <row r="25" spans="1:94">
      <c r="A25" s="3" t="s">
        <v>926</v>
      </c>
      <c r="B25" s="3" t="s">
        <v>927</v>
      </c>
      <c r="C25" s="3">
        <v>17</v>
      </c>
      <c r="D25" s="3" t="s">
        <v>664</v>
      </c>
      <c r="E25" s="83">
        <v>32775</v>
      </c>
      <c r="F25" s="83">
        <v>34135</v>
      </c>
      <c r="G25" s="83">
        <v>39957</v>
      </c>
      <c r="H25" s="83">
        <v>52256</v>
      </c>
      <c r="I25" s="83">
        <v>60909</v>
      </c>
      <c r="J25" s="83">
        <v>68196</v>
      </c>
      <c r="K25" s="83">
        <v>75758</v>
      </c>
      <c r="L25" s="83">
        <v>86118</v>
      </c>
      <c r="M25" s="83">
        <v>100573</v>
      </c>
      <c r="N25" s="83">
        <v>107760</v>
      </c>
      <c r="O25" s="83">
        <v>104311</v>
      </c>
      <c r="P25" s="83">
        <v>107004</v>
      </c>
      <c r="Q25" s="83">
        <v>102840</v>
      </c>
      <c r="R25" s="83">
        <v>108759</v>
      </c>
      <c r="S25" s="83">
        <v>112705</v>
      </c>
      <c r="T25" s="83">
        <v>116938</v>
      </c>
      <c r="U25" s="83">
        <v>127511</v>
      </c>
      <c r="V25" s="83">
        <v>138430</v>
      </c>
      <c r="W25" s="83">
        <v>141727</v>
      </c>
      <c r="X25" s="83">
        <v>135731</v>
      </c>
      <c r="Y25" s="83">
        <v>154178</v>
      </c>
      <c r="Z25" s="83">
        <v>171387</v>
      </c>
      <c r="AA25" s="83">
        <v>187950</v>
      </c>
      <c r="AB25" s="83">
        <v>203688</v>
      </c>
      <c r="AC25" s="83">
        <v>220972</v>
      </c>
      <c r="AD25" s="83">
        <v>238531</v>
      </c>
      <c r="AE25" s="83">
        <v>243289</v>
      </c>
      <c r="AF25" s="83">
        <v>242825</v>
      </c>
      <c r="AG25" s="83">
        <v>297788</v>
      </c>
      <c r="AH25" s="83">
        <v>335432</v>
      </c>
      <c r="AI25" s="83">
        <v>355017</v>
      </c>
      <c r="AJ25" s="83">
        <v>390182</v>
      </c>
      <c r="AK25" s="83">
        <v>355109</v>
      </c>
      <c r="AL25" s="83">
        <v>371977</v>
      </c>
      <c r="AM25" s="83">
        <v>400082</v>
      </c>
      <c r="AN25" s="83">
        <v>430250</v>
      </c>
      <c r="AO25" s="83">
        <v>426619</v>
      </c>
      <c r="AP25" s="83">
        <v>518119.27300000004</v>
      </c>
      <c r="AQ25" s="83">
        <v>545752.61800000002</v>
      </c>
      <c r="AR25" s="83">
        <v>593342.66200000013</v>
      </c>
      <c r="AS25" s="96">
        <v>641405</v>
      </c>
      <c r="AT25" s="97">
        <v>675439.09799999977</v>
      </c>
      <c r="AU25" s="97">
        <v>716820</v>
      </c>
      <c r="AV25" s="97">
        <v>772100</v>
      </c>
      <c r="AW25" s="97">
        <v>813499</v>
      </c>
      <c r="AX25" s="73">
        <v>64.289539292628717</v>
      </c>
      <c r="AY25" s="73">
        <v>65.005464572450293</v>
      </c>
      <c r="AZ25" s="73">
        <v>73.937430470281797</v>
      </c>
      <c r="BA25" s="73">
        <v>94.032441696233263</v>
      </c>
      <c r="BB25" s="73">
        <v>106.66518630025963</v>
      </c>
      <c r="BC25" s="73">
        <v>116.30863846954779</v>
      </c>
      <c r="BD25" s="73">
        <v>125.91848457690539</v>
      </c>
      <c r="BE25" s="73">
        <v>139.58669901721353</v>
      </c>
      <c r="BF25" s="73">
        <v>159.0699092741776</v>
      </c>
      <c r="BG25" s="73">
        <v>166.40844223259717</v>
      </c>
      <c r="BH25" s="73">
        <v>157.36268046524958</v>
      </c>
      <c r="BI25" s="73">
        <v>157.04697673342082</v>
      </c>
      <c r="BJ25" s="73">
        <v>146.94985807635862</v>
      </c>
      <c r="BK25" s="73">
        <v>151.40938570297465</v>
      </c>
      <c r="BL25" s="73">
        <v>152.96737641059153</v>
      </c>
      <c r="BM25" s="73">
        <v>154.82911996027494</v>
      </c>
      <c r="BN25" s="73">
        <v>164.79577348617963</v>
      </c>
      <c r="BO25" s="73">
        <v>174.73418862918561</v>
      </c>
      <c r="BP25" s="73">
        <v>174.81789899838435</v>
      </c>
      <c r="BQ25" s="73">
        <v>163.69058835497117</v>
      </c>
      <c r="BR25" s="73">
        <v>181.88387398046885</v>
      </c>
      <c r="BS25" s="73">
        <v>197.87150768974996</v>
      </c>
      <c r="BT25" s="73">
        <v>211.66946903003691</v>
      </c>
      <c r="BU25" s="73">
        <v>223.8996448392873</v>
      </c>
      <c r="BV25" s="73">
        <v>237.21735620498606</v>
      </c>
      <c r="BW25" s="73">
        <v>250.214779110568</v>
      </c>
      <c r="BX25" s="73">
        <v>249.50338070317397</v>
      </c>
      <c r="BY25" s="73">
        <v>243.58474080657572</v>
      </c>
      <c r="BZ25" s="73">
        <v>292.33048222729855</v>
      </c>
      <c r="CA25" s="73">
        <v>322.38910401871482</v>
      </c>
      <c r="CB25" s="73">
        <v>334.21385838483593</v>
      </c>
      <c r="CC25" s="73">
        <v>359.9355370177845</v>
      </c>
      <c r="CD25" s="73">
        <v>321.54101803228042</v>
      </c>
      <c r="CE25" s="73">
        <v>330.71636348829185</v>
      </c>
      <c r="CF25" s="73">
        <v>349.37823856367913</v>
      </c>
      <c r="CG25" s="73">
        <v>369.15806820805568</v>
      </c>
      <c r="CH25" s="73">
        <v>359.75673567262612</v>
      </c>
      <c r="CI25" s="73">
        <v>429.54021921239297</v>
      </c>
      <c r="CJ25" s="73">
        <v>444.93751827231205</v>
      </c>
      <c r="CK25" s="73">
        <v>475.8363885291659</v>
      </c>
      <c r="CL25" s="73">
        <v>506.11491575469637</v>
      </c>
      <c r="CM25" s="73">
        <v>523.89185369728023</v>
      </c>
      <c r="CN25" s="73">
        <v>546.56541865453187</v>
      </c>
      <c r="CO25" s="73">
        <v>595.78191650256497</v>
      </c>
      <c r="CP25" s="73">
        <v>618.75934605385453</v>
      </c>
    </row>
    <row r="26" spans="1:94">
      <c r="A26" s="3" t="s">
        <v>928</v>
      </c>
      <c r="B26" s="3" t="s">
        <v>929</v>
      </c>
      <c r="C26" s="3">
        <v>18</v>
      </c>
      <c r="D26" s="3" t="s">
        <v>713</v>
      </c>
      <c r="E26" s="83">
        <v>45299</v>
      </c>
      <c r="F26" s="83">
        <v>46805</v>
      </c>
      <c r="G26" s="83">
        <v>54797</v>
      </c>
      <c r="H26" s="83">
        <v>59588</v>
      </c>
      <c r="I26" s="83">
        <v>69972</v>
      </c>
      <c r="J26" s="83">
        <v>74114</v>
      </c>
      <c r="K26" s="83">
        <v>79668</v>
      </c>
      <c r="L26" s="83">
        <v>82377</v>
      </c>
      <c r="M26" s="83">
        <v>89913</v>
      </c>
      <c r="N26" s="83">
        <v>97886</v>
      </c>
      <c r="O26" s="83">
        <v>111110</v>
      </c>
      <c r="P26" s="83">
        <v>117894</v>
      </c>
      <c r="Q26" s="83">
        <v>98176</v>
      </c>
      <c r="R26" s="83">
        <v>97460</v>
      </c>
      <c r="S26" s="83">
        <v>107140</v>
      </c>
      <c r="T26" s="83">
        <v>108961</v>
      </c>
      <c r="U26" s="83">
        <v>122412</v>
      </c>
      <c r="V26" s="83">
        <v>133634</v>
      </c>
      <c r="W26" s="83">
        <v>121668</v>
      </c>
      <c r="X26" s="83">
        <v>115519</v>
      </c>
      <c r="Y26" s="83">
        <v>120871</v>
      </c>
      <c r="Z26" s="83">
        <v>139493</v>
      </c>
      <c r="AA26" s="83">
        <v>152741</v>
      </c>
      <c r="AB26" s="83">
        <v>173910</v>
      </c>
      <c r="AC26" s="83">
        <v>200735</v>
      </c>
      <c r="AD26" s="83">
        <v>220383</v>
      </c>
      <c r="AE26" s="83">
        <v>218454</v>
      </c>
      <c r="AF26" s="83">
        <v>232642</v>
      </c>
      <c r="AG26" s="83">
        <v>270135</v>
      </c>
      <c r="AH26" s="83">
        <v>300435</v>
      </c>
      <c r="AI26" s="83">
        <v>329585</v>
      </c>
      <c r="AJ26" s="83">
        <v>355251</v>
      </c>
      <c r="AK26" s="83">
        <v>332820</v>
      </c>
      <c r="AL26" s="83">
        <v>354152</v>
      </c>
      <c r="AM26" s="83">
        <v>380385</v>
      </c>
      <c r="AN26" s="83">
        <v>414561</v>
      </c>
      <c r="AO26" s="83">
        <v>458494</v>
      </c>
      <c r="AP26" s="83">
        <v>527782</v>
      </c>
      <c r="AQ26" s="83">
        <v>553918.076</v>
      </c>
      <c r="AR26" s="83">
        <v>592793.0469999999</v>
      </c>
      <c r="AS26" s="96">
        <v>645723</v>
      </c>
      <c r="AT26" s="97">
        <v>681064.39299999992</v>
      </c>
      <c r="AU26" s="97">
        <v>760122</v>
      </c>
      <c r="AV26" s="97">
        <v>819225</v>
      </c>
      <c r="AW26" s="97">
        <v>841994</v>
      </c>
      <c r="AX26" s="73">
        <v>117.87896451582684</v>
      </c>
      <c r="AY26" s="73">
        <v>119.26262800252361</v>
      </c>
      <c r="AZ26" s="73">
        <v>136.7796708321851</v>
      </c>
      <c r="BA26" s="73">
        <v>145.7662045893311</v>
      </c>
      <c r="BB26" s="73">
        <v>167.81433650357542</v>
      </c>
      <c r="BC26" s="73">
        <v>174.33255710018111</v>
      </c>
      <c r="BD26" s="73">
        <v>183.86371357251525</v>
      </c>
      <c r="BE26" s="73">
        <v>186.59772704003274</v>
      </c>
      <c r="BF26" s="73">
        <v>199.96770732696734</v>
      </c>
      <c r="BG26" s="73">
        <v>213.81508531546496</v>
      </c>
      <c r="BH26" s="73">
        <v>238.4457568630144</v>
      </c>
      <c r="BI26" s="73">
        <v>249.94511634010846</v>
      </c>
      <c r="BJ26" s="73">
        <v>205.65454046560382</v>
      </c>
      <c r="BK26" s="73">
        <v>201.74434962639413</v>
      </c>
      <c r="BL26" s="73">
        <v>219.19425631668787</v>
      </c>
      <c r="BM26" s="73">
        <v>220.34859774662866</v>
      </c>
      <c r="BN26" s="73">
        <v>244.72744523375746</v>
      </c>
      <c r="BO26" s="73">
        <v>264.15058983300321</v>
      </c>
      <c r="BP26" s="73">
        <v>237.81658154750676</v>
      </c>
      <c r="BQ26" s="73">
        <v>223.308010117224</v>
      </c>
      <c r="BR26" s="73">
        <v>231.10583907866643</v>
      </c>
      <c r="BS26" s="73">
        <v>263.83401265331986</v>
      </c>
      <c r="BT26" s="73">
        <v>283.57061222186167</v>
      </c>
      <c r="BU26" s="73">
        <v>317.0331631527655</v>
      </c>
      <c r="BV26" s="73">
        <v>359.43455957873806</v>
      </c>
      <c r="BW26" s="73">
        <v>387.72914994558357</v>
      </c>
      <c r="BX26" s="73">
        <v>377.74288708210418</v>
      </c>
      <c r="BY26" s="73">
        <v>395.49240455070753</v>
      </c>
      <c r="BZ26" s="73">
        <v>451.61476918303259</v>
      </c>
      <c r="CA26" s="73">
        <v>494.07686637830233</v>
      </c>
      <c r="CB26" s="73">
        <v>533.31492967883798</v>
      </c>
      <c r="CC26" s="73">
        <v>565.7646839609946</v>
      </c>
      <c r="CD26" s="73">
        <v>521.99271101687089</v>
      </c>
      <c r="CE26" s="73">
        <v>547.14114610738193</v>
      </c>
      <c r="CF26" s="73">
        <v>579.0084448606583</v>
      </c>
      <c r="CG26" s="73">
        <v>621.86503137278714</v>
      </c>
      <c r="CH26" s="73">
        <v>677.92108262500858</v>
      </c>
      <c r="CI26" s="73">
        <v>769.35515707909519</v>
      </c>
      <c r="CJ26" s="73">
        <v>796.21648090469546</v>
      </c>
      <c r="CK26" s="73">
        <v>840.40027140937343</v>
      </c>
      <c r="CL26" s="73">
        <v>903.04341502436193</v>
      </c>
      <c r="CM26" s="73">
        <v>939.81397720373116</v>
      </c>
      <c r="CN26" s="73">
        <v>1035.1640539778646</v>
      </c>
      <c r="CO26" s="73">
        <v>1134.9278916088274</v>
      </c>
      <c r="CP26" s="73">
        <v>1152.7721492645207</v>
      </c>
    </row>
    <row r="27" spans="1:94">
      <c r="A27" s="3" t="s">
        <v>841</v>
      </c>
      <c r="B27" s="3" t="s">
        <v>659</v>
      </c>
      <c r="C27" s="3">
        <v>19</v>
      </c>
      <c r="D27" s="3" t="s">
        <v>713</v>
      </c>
      <c r="E27" s="83">
        <v>13249</v>
      </c>
      <c r="F27" s="83">
        <v>14466</v>
      </c>
      <c r="G27" s="83">
        <v>15847</v>
      </c>
      <c r="H27" s="83">
        <v>18949</v>
      </c>
      <c r="I27" s="83">
        <v>22263</v>
      </c>
      <c r="J27" s="83">
        <v>24123</v>
      </c>
      <c r="K27" s="83">
        <v>30236</v>
      </c>
      <c r="L27" s="83">
        <v>33993</v>
      </c>
      <c r="M27" s="83">
        <v>37170</v>
      </c>
      <c r="N27" s="83">
        <v>36856</v>
      </c>
      <c r="O27" s="83">
        <v>40595</v>
      </c>
      <c r="P27" s="83">
        <v>40491</v>
      </c>
      <c r="Q27" s="83">
        <v>40542</v>
      </c>
      <c r="R27" s="83">
        <v>43184</v>
      </c>
      <c r="S27" s="83">
        <v>54932</v>
      </c>
      <c r="T27" s="83">
        <v>48200</v>
      </c>
      <c r="U27" s="83">
        <v>53103</v>
      </c>
      <c r="V27" s="83">
        <v>59198</v>
      </c>
      <c r="W27" s="83">
        <v>71673</v>
      </c>
      <c r="X27" s="83">
        <v>70699</v>
      </c>
      <c r="Y27" s="83">
        <v>60869</v>
      </c>
      <c r="Z27" s="83">
        <v>64360</v>
      </c>
      <c r="AA27" s="83">
        <v>91475</v>
      </c>
      <c r="AB27" s="83">
        <v>104846</v>
      </c>
      <c r="AC27" s="83">
        <v>125267</v>
      </c>
      <c r="AD27" s="83">
        <v>134466</v>
      </c>
      <c r="AE27" s="83">
        <v>139204</v>
      </c>
      <c r="AF27" s="83">
        <v>147977</v>
      </c>
      <c r="AG27" s="83">
        <v>166210</v>
      </c>
      <c r="AH27" s="83">
        <v>167632</v>
      </c>
      <c r="AI27" s="83">
        <v>172361</v>
      </c>
      <c r="AJ27" s="83">
        <v>179979</v>
      </c>
      <c r="AK27" s="83">
        <v>183477</v>
      </c>
      <c r="AL27" s="83">
        <v>195037</v>
      </c>
      <c r="AM27" s="83">
        <v>213631</v>
      </c>
      <c r="AN27" s="83">
        <v>226836</v>
      </c>
      <c r="AO27" s="83">
        <v>243537</v>
      </c>
      <c r="AP27" s="83">
        <v>287329.30399999995</v>
      </c>
      <c r="AQ27" s="83">
        <v>297054.00899999996</v>
      </c>
      <c r="AR27" s="83">
        <v>311050.18200000003</v>
      </c>
      <c r="AS27" s="96">
        <v>346801</v>
      </c>
      <c r="AT27" s="97">
        <v>350370.47600000002</v>
      </c>
      <c r="AU27" s="97">
        <v>381578</v>
      </c>
      <c r="AV27" s="97">
        <v>391949</v>
      </c>
      <c r="AW27" s="97">
        <v>408163</v>
      </c>
      <c r="AX27" s="73">
        <v>72.217377084923143</v>
      </c>
      <c r="AY27" s="73">
        <v>77.542566398435639</v>
      </c>
      <c r="AZ27" s="73">
        <v>83.5586592650086</v>
      </c>
      <c r="BA27" s="73">
        <v>98.31032214283195</v>
      </c>
      <c r="BB27" s="73">
        <v>113.67814119925002</v>
      </c>
      <c r="BC27" s="73">
        <v>121.25888467763826</v>
      </c>
      <c r="BD27" s="73">
        <v>149.65827466322435</v>
      </c>
      <c r="BE27" s="73">
        <v>165.71507128190427</v>
      </c>
      <c r="BF27" s="73">
        <v>178.50899604658045</v>
      </c>
      <c r="BG27" s="73">
        <v>174.40814989939449</v>
      </c>
      <c r="BH27" s="73">
        <v>189.32822177449444</v>
      </c>
      <c r="BI27" s="73">
        <v>183.24599155333325</v>
      </c>
      <c r="BJ27" s="73">
        <v>178.19519674675752</v>
      </c>
      <c r="BK27" s="73">
        <v>184.49668983442209</v>
      </c>
      <c r="BL27" s="73">
        <v>228.30013113584135</v>
      </c>
      <c r="BM27" s="73">
        <v>195.01351257529666</v>
      </c>
      <c r="BN27" s="73">
        <v>209.30454747760095</v>
      </c>
      <c r="BO27" s="73">
        <v>227.45636292442072</v>
      </c>
      <c r="BP27" s="73">
        <v>268.62918049078939</v>
      </c>
      <c r="BQ27" s="73">
        <v>258.63016625179773</v>
      </c>
      <c r="BR27" s="73">
        <v>217.46016996325912</v>
      </c>
      <c r="BS27" s="73">
        <v>224.67517053110754</v>
      </c>
      <c r="BT27" s="73">
        <v>309.98271416425308</v>
      </c>
      <c r="BU27" s="73">
        <v>345.18769906254175</v>
      </c>
      <c r="BV27" s="73">
        <v>401.01442079447384</v>
      </c>
      <c r="BW27" s="73">
        <v>418.87840545470857</v>
      </c>
      <c r="BX27" s="73">
        <v>422.27369040522848</v>
      </c>
      <c r="BY27" s="73">
        <v>437.42310650602468</v>
      </c>
      <c r="BZ27" s="73">
        <v>479.08565288210906</v>
      </c>
      <c r="CA27" s="73">
        <v>471.44478680476578</v>
      </c>
      <c r="CB27" s="73">
        <v>473.24633405077668</v>
      </c>
      <c r="CC27" s="73">
        <v>482.71284085514509</v>
      </c>
      <c r="CD27" s="73">
        <v>480.08858391490651</v>
      </c>
      <c r="CE27" s="73">
        <v>498.18205707807437</v>
      </c>
      <c r="CF27" s="73">
        <v>532.98266034368862</v>
      </c>
      <c r="CG27" s="73">
        <v>553.0617410307342</v>
      </c>
      <c r="CH27" s="73">
        <v>580.58248774865024</v>
      </c>
      <c r="CI27" s="73">
        <v>670.08652842960851</v>
      </c>
      <c r="CJ27" s="73">
        <v>678.02196966957968</v>
      </c>
      <c r="CK27" s="73">
        <v>695.17309453512701</v>
      </c>
      <c r="CL27" s="73">
        <v>759.25143453883493</v>
      </c>
      <c r="CM27" s="73">
        <v>751.15711526216614</v>
      </c>
      <c r="CN27" s="73">
        <v>801.31291855578957</v>
      </c>
      <c r="CO27" s="73">
        <v>845.79131699506479</v>
      </c>
      <c r="CP27" s="73">
        <v>868.63706109315171</v>
      </c>
    </row>
    <row r="28" spans="1:94">
      <c r="A28" s="3" t="s">
        <v>660</v>
      </c>
      <c r="B28" s="3" t="s">
        <v>661</v>
      </c>
      <c r="C28" s="3">
        <v>20</v>
      </c>
      <c r="D28" s="3" t="s">
        <v>541</v>
      </c>
      <c r="E28" s="83">
        <v>8968</v>
      </c>
      <c r="F28" s="83">
        <v>10943</v>
      </c>
      <c r="G28" s="83">
        <v>12507</v>
      </c>
      <c r="H28" s="83">
        <v>13716</v>
      </c>
      <c r="I28" s="83">
        <v>15226</v>
      </c>
      <c r="J28" s="83">
        <v>18278</v>
      </c>
      <c r="K28" s="83">
        <v>20213</v>
      </c>
      <c r="L28" s="83">
        <v>20190</v>
      </c>
      <c r="M28" s="83">
        <v>22041</v>
      </c>
      <c r="N28" s="83">
        <v>24001</v>
      </c>
      <c r="O28" s="83">
        <v>25006</v>
      </c>
      <c r="P28" s="83">
        <v>28248</v>
      </c>
      <c r="Q28" s="83">
        <v>26517</v>
      </c>
      <c r="R28" s="83">
        <v>30912</v>
      </c>
      <c r="S28" s="83">
        <v>36612</v>
      </c>
      <c r="T28" s="83">
        <v>45828</v>
      </c>
      <c r="U28" s="83">
        <v>47872</v>
      </c>
      <c r="V28" s="83">
        <v>45775</v>
      </c>
      <c r="W28" s="83">
        <v>44423</v>
      </c>
      <c r="X28" s="83">
        <v>43047</v>
      </c>
      <c r="Y28" s="83">
        <v>46119</v>
      </c>
      <c r="Z28" s="83">
        <v>47418</v>
      </c>
      <c r="AA28" s="83">
        <v>56058</v>
      </c>
      <c r="AB28" s="83">
        <v>63789</v>
      </c>
      <c r="AC28" s="83">
        <v>65704</v>
      </c>
      <c r="AD28" s="83">
        <v>76952</v>
      </c>
      <c r="AE28" s="83">
        <v>79007</v>
      </c>
      <c r="AF28" s="83">
        <v>84325</v>
      </c>
      <c r="AG28" s="83">
        <v>87314</v>
      </c>
      <c r="AH28" s="83">
        <v>91172</v>
      </c>
      <c r="AI28" s="83">
        <v>96002</v>
      </c>
      <c r="AJ28" s="83">
        <v>104792</v>
      </c>
      <c r="AK28" s="83">
        <v>102757</v>
      </c>
      <c r="AL28" s="83">
        <v>107937</v>
      </c>
      <c r="AM28" s="83">
        <v>118199</v>
      </c>
      <c r="AN28" s="83">
        <v>123039</v>
      </c>
      <c r="AO28" s="83">
        <v>141947</v>
      </c>
      <c r="AP28" s="83">
        <v>159857.48799999998</v>
      </c>
      <c r="AQ28" s="83">
        <v>174372</v>
      </c>
      <c r="AR28" s="83">
        <v>183321.217</v>
      </c>
      <c r="AS28" s="96">
        <v>189902</v>
      </c>
      <c r="AT28" s="97">
        <v>224958.24</v>
      </c>
      <c r="AU28" s="97">
        <v>211805</v>
      </c>
      <c r="AV28" s="97">
        <v>223112</v>
      </c>
      <c r="AW28" s="97">
        <v>226802</v>
      </c>
      <c r="AX28" s="73">
        <v>106.18421208425589</v>
      </c>
      <c r="AY28" s="73">
        <v>125.05513945425083</v>
      </c>
      <c r="AZ28" s="73">
        <v>138.11678803098269</v>
      </c>
      <c r="BA28" s="73">
        <v>146.53501733933604</v>
      </c>
      <c r="BB28" s="73">
        <v>157.53652848507923</v>
      </c>
      <c r="BC28" s="73">
        <v>183.33182880470213</v>
      </c>
      <c r="BD28" s="73">
        <v>196.72517260777403</v>
      </c>
      <c r="BE28" s="73">
        <v>190.8393338866004</v>
      </c>
      <c r="BF28" s="73">
        <v>202.50045477848155</v>
      </c>
      <c r="BG28" s="73">
        <v>214.50033335537827</v>
      </c>
      <c r="BH28" s="73">
        <v>217.55509348274333</v>
      </c>
      <c r="BI28" s="73">
        <v>237.33299815900571</v>
      </c>
      <c r="BJ28" s="73">
        <v>215.40276385213932</v>
      </c>
      <c r="BK28" s="73">
        <v>243.04579021371157</v>
      </c>
      <c r="BL28" s="73">
        <v>278.9112770063889</v>
      </c>
      <c r="BM28" s="73">
        <v>338.59089504642736</v>
      </c>
      <c r="BN28" s="73">
        <v>343.33872525457429</v>
      </c>
      <c r="BO28" s="73">
        <v>318.96187403949966</v>
      </c>
      <c r="BP28" s="73">
        <v>300.98088615878862</v>
      </c>
      <c r="BQ28" s="73">
        <v>283.80941367481802</v>
      </c>
      <c r="BR28" s="73">
        <v>296.0951572368715</v>
      </c>
      <c r="BS28" s="73">
        <v>296.6610151464912</v>
      </c>
      <c r="BT28" s="73">
        <v>342.51212216009071</v>
      </c>
      <c r="BU28" s="73">
        <v>380.84030964432458</v>
      </c>
      <c r="BV28" s="73">
        <v>383.50816816830843</v>
      </c>
      <c r="BW28" s="73">
        <v>439.3446142146413</v>
      </c>
      <c r="BX28" s="73">
        <v>441.42920996759415</v>
      </c>
      <c r="BY28" s="73">
        <v>461.27580710274481</v>
      </c>
      <c r="BZ28" s="73">
        <v>467.82942662846051</v>
      </c>
      <c r="CA28" s="73">
        <v>478.68212780747712</v>
      </c>
      <c r="CB28" s="73">
        <v>494.10992069700995</v>
      </c>
      <c r="CC28" s="73">
        <v>528.92929068599494</v>
      </c>
      <c r="CD28" s="73">
        <v>508.40299505405829</v>
      </c>
      <c r="CE28" s="73">
        <v>523.67764081760026</v>
      </c>
      <c r="CF28" s="73">
        <v>562.55859142513521</v>
      </c>
      <c r="CG28" s="73">
        <v>574.66424674258144</v>
      </c>
      <c r="CH28" s="73">
        <v>650.82818318447266</v>
      </c>
      <c r="CI28" s="73">
        <v>719.75997298133666</v>
      </c>
      <c r="CJ28" s="73">
        <v>771.23483201011118</v>
      </c>
      <c r="CK28" s="73">
        <v>796.73430200028008</v>
      </c>
      <c r="CL28" s="73">
        <v>811.24539167061812</v>
      </c>
      <c r="CM28" s="73">
        <v>944.52406044396662</v>
      </c>
      <c r="CN28" s="73">
        <v>874.23382519863787</v>
      </c>
      <c r="CO28" s="73">
        <v>737.75543945506251</v>
      </c>
      <c r="CP28" s="73">
        <v>728.22722544020758</v>
      </c>
    </row>
    <row r="29" spans="1:94">
      <c r="A29" s="3" t="s">
        <v>80</v>
      </c>
      <c r="B29" s="3" t="s">
        <v>747</v>
      </c>
      <c r="C29" s="3">
        <v>21</v>
      </c>
      <c r="D29" s="3" t="s">
        <v>759</v>
      </c>
      <c r="E29" s="83">
        <v>435903</v>
      </c>
      <c r="F29" s="83">
        <v>452329</v>
      </c>
      <c r="G29" s="83">
        <v>495914</v>
      </c>
      <c r="H29" s="83">
        <v>531441</v>
      </c>
      <c r="I29" s="83">
        <v>563728</v>
      </c>
      <c r="J29" s="83">
        <v>611499</v>
      </c>
      <c r="K29" s="83">
        <v>667173</v>
      </c>
      <c r="L29" s="83">
        <v>686269</v>
      </c>
      <c r="M29" s="83">
        <v>721611</v>
      </c>
      <c r="N29" s="83">
        <v>767211</v>
      </c>
      <c r="O29" s="83">
        <v>847307</v>
      </c>
      <c r="P29" s="83">
        <v>849925</v>
      </c>
      <c r="Q29" s="83">
        <v>830200</v>
      </c>
      <c r="R29" s="83">
        <v>911127</v>
      </c>
      <c r="S29" s="83">
        <v>975255</v>
      </c>
      <c r="T29" s="83">
        <v>1000999</v>
      </c>
      <c r="U29" s="83">
        <v>1074672</v>
      </c>
      <c r="V29" s="83">
        <v>1140619</v>
      </c>
      <c r="W29" s="83">
        <v>1090815</v>
      </c>
      <c r="X29" s="83">
        <v>1065664</v>
      </c>
      <c r="Y29" s="83">
        <v>1090061</v>
      </c>
      <c r="Z29" s="83">
        <v>1078009</v>
      </c>
      <c r="AA29" s="83">
        <v>1177895</v>
      </c>
      <c r="AB29" s="83">
        <v>1253946</v>
      </c>
      <c r="AC29" s="83">
        <v>1268434</v>
      </c>
      <c r="AD29" s="83">
        <v>1299015</v>
      </c>
      <c r="AE29" s="83">
        <v>1310275</v>
      </c>
      <c r="AF29" s="83">
        <v>1306084</v>
      </c>
      <c r="AG29" s="83">
        <v>1322774</v>
      </c>
      <c r="AH29" s="83">
        <v>1339702</v>
      </c>
      <c r="AI29" s="83">
        <v>1338033</v>
      </c>
      <c r="AJ29" s="83">
        <v>1372567</v>
      </c>
      <c r="AK29" s="83">
        <v>1267445</v>
      </c>
      <c r="AL29" s="83">
        <v>1350927</v>
      </c>
      <c r="AM29" s="83">
        <v>1341476</v>
      </c>
      <c r="AN29" s="83">
        <v>1408482</v>
      </c>
      <c r="AO29" s="83">
        <v>1560057</v>
      </c>
      <c r="AP29" s="83">
        <v>1748954</v>
      </c>
      <c r="AQ29" s="83">
        <v>1916358.3370000003</v>
      </c>
      <c r="AR29" s="83">
        <v>2034360.9759999998</v>
      </c>
      <c r="AS29" s="96">
        <v>2499685</v>
      </c>
      <c r="AT29" s="97">
        <v>2610547.8319999995</v>
      </c>
      <c r="AU29" s="97">
        <v>2787377</v>
      </c>
      <c r="AV29" s="97">
        <v>2853542</v>
      </c>
      <c r="AW29" s="97">
        <v>3117796</v>
      </c>
      <c r="AX29" s="73">
        <v>204.11428635646567</v>
      </c>
      <c r="AY29" s="73">
        <v>208.58310323260952</v>
      </c>
      <c r="AZ29" s="73">
        <v>225.25413163190944</v>
      </c>
      <c r="BA29" s="73">
        <v>237.82676225365583</v>
      </c>
      <c r="BB29" s="73">
        <v>248.60465056795204</v>
      </c>
      <c r="BC29" s="73">
        <v>265.80389291410864</v>
      </c>
      <c r="BD29" s="73">
        <v>285.90341421573419</v>
      </c>
      <c r="BE29" s="73">
        <v>289.9862420391209</v>
      </c>
      <c r="BF29" s="73">
        <v>300.72721032172075</v>
      </c>
      <c r="BG29" s="73">
        <v>315.39376153342312</v>
      </c>
      <c r="BH29" s="73">
        <v>343.65897046739343</v>
      </c>
      <c r="BI29" s="73">
        <v>340.54108740357583</v>
      </c>
      <c r="BJ29" s="73">
        <v>328.6529516277248</v>
      </c>
      <c r="BK29" s="73">
        <v>356.41989001108777</v>
      </c>
      <c r="BL29" s="73">
        <v>377.04248501831637</v>
      </c>
      <c r="BM29" s="73">
        <v>382.52010534942866</v>
      </c>
      <c r="BN29" s="73">
        <v>405.97863024220294</v>
      </c>
      <c r="BO29" s="73">
        <v>426.02119194157325</v>
      </c>
      <c r="BP29" s="73">
        <v>402.8659522234438</v>
      </c>
      <c r="BQ29" s="73">
        <v>389.22690759495117</v>
      </c>
      <c r="BR29" s="73">
        <v>393.78533145025369</v>
      </c>
      <c r="BS29" s="73">
        <v>385.22031344807897</v>
      </c>
      <c r="BT29" s="73">
        <v>416.49261168884283</v>
      </c>
      <c r="BU29" s="73">
        <v>438.77453044204628</v>
      </c>
      <c r="BV29" s="73">
        <v>439.27777798171883</v>
      </c>
      <c r="BW29" s="73">
        <v>445.28726970275716</v>
      </c>
      <c r="BX29" s="73">
        <v>444.61935167744105</v>
      </c>
      <c r="BY29" s="73">
        <v>438.77405946464137</v>
      </c>
      <c r="BZ29" s="73">
        <v>439.98986420118484</v>
      </c>
      <c r="CA29" s="73">
        <v>441.26026668851938</v>
      </c>
      <c r="CB29" s="73">
        <v>436.44007287390917</v>
      </c>
      <c r="CC29" s="73">
        <v>443.40777697661377</v>
      </c>
      <c r="CD29" s="73">
        <v>406.67934106681162</v>
      </c>
      <c r="CE29" s="73">
        <v>430.55433471808709</v>
      </c>
      <c r="CF29" s="73">
        <v>424.68965363097789</v>
      </c>
      <c r="CG29" s="73">
        <v>442.9473391308548</v>
      </c>
      <c r="CH29" s="73">
        <v>487.38524371370988</v>
      </c>
      <c r="CI29" s="73">
        <v>542.8254787565761</v>
      </c>
      <c r="CJ29" s="73">
        <v>590.91779230977352</v>
      </c>
      <c r="CK29" s="73">
        <v>623.25419869047312</v>
      </c>
      <c r="CL29" s="73">
        <v>760.89974034829243</v>
      </c>
      <c r="CM29" s="73">
        <v>789.66710023703183</v>
      </c>
      <c r="CN29" s="73">
        <v>837.92808741651538</v>
      </c>
      <c r="CO29" s="73">
        <v>854.03989191997675</v>
      </c>
      <c r="CP29" s="73">
        <v>925.33637643888392</v>
      </c>
    </row>
    <row r="30" spans="1:94">
      <c r="A30" s="3" t="s">
        <v>721</v>
      </c>
      <c r="B30" s="3" t="s">
        <v>722</v>
      </c>
      <c r="C30" s="3">
        <v>22</v>
      </c>
      <c r="D30" s="3" t="s">
        <v>664</v>
      </c>
      <c r="E30" s="83">
        <v>25834</v>
      </c>
      <c r="F30" s="83">
        <v>27508</v>
      </c>
      <c r="G30" s="83">
        <v>30228</v>
      </c>
      <c r="H30" s="83">
        <v>35463</v>
      </c>
      <c r="I30" s="83">
        <v>39420</v>
      </c>
      <c r="J30" s="83">
        <v>41173</v>
      </c>
      <c r="K30" s="83">
        <v>52349</v>
      </c>
      <c r="L30" s="83">
        <v>67326</v>
      </c>
      <c r="M30" s="83">
        <v>66491</v>
      </c>
      <c r="N30" s="83">
        <v>70641</v>
      </c>
      <c r="O30" s="83">
        <v>74204</v>
      </c>
      <c r="P30" s="83">
        <v>76598</v>
      </c>
      <c r="Q30" s="83">
        <v>73970</v>
      </c>
      <c r="R30" s="83">
        <v>78746</v>
      </c>
      <c r="S30" s="83">
        <v>83965</v>
      </c>
      <c r="T30" s="83">
        <v>88094</v>
      </c>
      <c r="U30" s="83">
        <v>100722</v>
      </c>
      <c r="V30" s="83">
        <v>106056</v>
      </c>
      <c r="W30" s="83">
        <v>106346</v>
      </c>
      <c r="X30" s="83">
        <v>105861</v>
      </c>
      <c r="Y30" s="83">
        <v>108509</v>
      </c>
      <c r="Z30" s="83">
        <v>112053</v>
      </c>
      <c r="AA30" s="83">
        <v>122013</v>
      </c>
      <c r="AB30" s="83">
        <v>138182</v>
      </c>
      <c r="AC30" s="83">
        <v>158800</v>
      </c>
      <c r="AD30" s="83">
        <v>173323</v>
      </c>
      <c r="AE30" s="83">
        <v>198745</v>
      </c>
      <c r="AF30" s="83">
        <v>217064</v>
      </c>
      <c r="AG30" s="83">
        <v>231394</v>
      </c>
      <c r="AH30" s="83">
        <v>253832</v>
      </c>
      <c r="AI30" s="83">
        <v>262685</v>
      </c>
      <c r="AJ30" s="83">
        <v>275653</v>
      </c>
      <c r="AK30" s="83">
        <v>265451</v>
      </c>
      <c r="AL30" s="83">
        <v>268878</v>
      </c>
      <c r="AM30" s="83">
        <v>284888</v>
      </c>
      <c r="AN30" s="83">
        <v>308195</v>
      </c>
      <c r="AO30" s="83">
        <v>336834</v>
      </c>
      <c r="AP30" s="83">
        <v>394605.42099999986</v>
      </c>
      <c r="AQ30" s="83">
        <v>436524.18400000001</v>
      </c>
      <c r="AR30" s="83">
        <v>473758.33600000013</v>
      </c>
      <c r="AS30" s="96">
        <v>493161</v>
      </c>
      <c r="AT30" s="97">
        <v>516730.74900000007</v>
      </c>
      <c r="AU30" s="97">
        <v>613832</v>
      </c>
      <c r="AV30" s="97">
        <v>677317</v>
      </c>
      <c r="AW30" s="97">
        <v>724161</v>
      </c>
      <c r="AX30" s="73">
        <v>52.145759448063153</v>
      </c>
      <c r="AY30" s="73">
        <v>54.431503627744554</v>
      </c>
      <c r="AZ30" s="73">
        <v>58.658788572209218</v>
      </c>
      <c r="BA30" s="73">
        <v>67.513939992304898</v>
      </c>
      <c r="BB30" s="73">
        <v>73.652038771389826</v>
      </c>
      <c r="BC30" s="73">
        <v>75.523300551479863</v>
      </c>
      <c r="BD30" s="73">
        <v>94.30220082302985</v>
      </c>
      <c r="BE30" s="73">
        <v>119.14636371406927</v>
      </c>
      <c r="BF30" s="73">
        <v>115.63253995775449</v>
      </c>
      <c r="BG30" s="73">
        <v>120.76005962016164</v>
      </c>
      <c r="BH30" s="73">
        <v>124.72937537820211</v>
      </c>
      <c r="BI30" s="73">
        <v>127.25480722569668</v>
      </c>
      <c r="BJ30" s="73">
        <v>121.47490404352956</v>
      </c>
      <c r="BK30" s="73">
        <v>127.84716916971666</v>
      </c>
      <c r="BL30" s="73">
        <v>134.78723866883021</v>
      </c>
      <c r="BM30" s="73">
        <v>139.842642659251</v>
      </c>
      <c r="BN30" s="73">
        <v>158.12996131340654</v>
      </c>
      <c r="BO30" s="73">
        <v>164.69262291931651</v>
      </c>
      <c r="BP30" s="73">
        <v>163.36557729398822</v>
      </c>
      <c r="BQ30" s="73">
        <v>160.88893503716943</v>
      </c>
      <c r="BR30" s="73">
        <v>163.17588953033336</v>
      </c>
      <c r="BS30" s="73">
        <v>166.74851336631011</v>
      </c>
      <c r="BT30" s="73">
        <v>177.94384748861938</v>
      </c>
      <c r="BU30" s="73">
        <v>197.57864568647648</v>
      </c>
      <c r="BV30" s="73">
        <v>222.69847159851221</v>
      </c>
      <c r="BW30" s="73">
        <v>238.48515836725528</v>
      </c>
      <c r="BX30" s="73">
        <v>268.40711394658189</v>
      </c>
      <c r="BY30" s="73">
        <v>287.82389204562031</v>
      </c>
      <c r="BZ30" s="73">
        <v>301.35305037362758</v>
      </c>
      <c r="CA30" s="73">
        <v>324.78240530805141</v>
      </c>
      <c r="CB30" s="73">
        <v>330.32191312452574</v>
      </c>
      <c r="CC30" s="73">
        <v>340.76080372440771</v>
      </c>
      <c r="CD30" s="73">
        <v>324.81908764615065</v>
      </c>
      <c r="CE30" s="73">
        <v>325.70725928966704</v>
      </c>
      <c r="CF30" s="73">
        <v>341.66866081723032</v>
      </c>
      <c r="CG30" s="73">
        <v>365.98085547073481</v>
      </c>
      <c r="CH30" s="73">
        <v>396.08884810703989</v>
      </c>
      <c r="CI30" s="73">
        <v>459.54173301893456</v>
      </c>
      <c r="CJ30" s="73">
        <v>503.4959065570751</v>
      </c>
      <c r="CK30" s="73">
        <v>541.26502956574654</v>
      </c>
      <c r="CL30" s="73">
        <v>558.14403563712335</v>
      </c>
      <c r="CM30" s="73">
        <v>578.81567604381132</v>
      </c>
      <c r="CN30" s="73">
        <v>680.47575391075793</v>
      </c>
      <c r="CO30" s="73">
        <v>745.72372911959906</v>
      </c>
      <c r="CP30" s="73">
        <v>788.72010691098478</v>
      </c>
    </row>
    <row r="31" spans="1:94">
      <c r="A31" s="3" t="s">
        <v>723</v>
      </c>
      <c r="B31" s="3" t="s">
        <v>724</v>
      </c>
      <c r="C31" s="3">
        <v>23</v>
      </c>
      <c r="D31" s="3" t="s">
        <v>541</v>
      </c>
      <c r="E31" s="83">
        <v>1132</v>
      </c>
      <c r="F31" s="83">
        <v>1433</v>
      </c>
      <c r="G31" s="83">
        <v>1730</v>
      </c>
      <c r="H31" s="83">
        <v>2015</v>
      </c>
      <c r="I31" s="83">
        <v>2317</v>
      </c>
      <c r="J31" s="83">
        <v>2595</v>
      </c>
      <c r="K31" s="83">
        <v>2791</v>
      </c>
      <c r="L31" s="83">
        <v>3090</v>
      </c>
      <c r="M31" s="83">
        <v>3367</v>
      </c>
      <c r="N31" s="83">
        <v>4032</v>
      </c>
      <c r="O31" s="83">
        <v>4891</v>
      </c>
      <c r="P31" s="83">
        <v>6096</v>
      </c>
      <c r="Q31" s="83">
        <v>6536</v>
      </c>
      <c r="R31" s="83">
        <v>8637</v>
      </c>
      <c r="S31" s="83">
        <v>10629</v>
      </c>
      <c r="T31" s="83">
        <v>13517</v>
      </c>
      <c r="U31" s="83">
        <v>18248</v>
      </c>
      <c r="V31" s="83">
        <v>21527</v>
      </c>
      <c r="W31" s="83">
        <v>23707</v>
      </c>
      <c r="X31" s="83">
        <v>27215</v>
      </c>
      <c r="Y31" s="83">
        <v>28597</v>
      </c>
      <c r="Z31" s="83">
        <v>30506</v>
      </c>
      <c r="AA31" s="83">
        <v>34699</v>
      </c>
      <c r="AB31" s="83">
        <v>39523</v>
      </c>
      <c r="AC31" s="83">
        <v>47686</v>
      </c>
      <c r="AD31" s="83">
        <v>52340</v>
      </c>
      <c r="AE31" s="83">
        <v>53023</v>
      </c>
      <c r="AF31" s="83">
        <v>55868</v>
      </c>
      <c r="AG31" s="83">
        <v>56882</v>
      </c>
      <c r="AH31" s="83">
        <v>63633</v>
      </c>
      <c r="AI31" s="83">
        <v>66781</v>
      </c>
      <c r="AJ31" s="83">
        <v>69300</v>
      </c>
      <c r="AK31" s="83">
        <v>69636</v>
      </c>
      <c r="AL31" s="83">
        <v>76720</v>
      </c>
      <c r="AM31" s="83">
        <v>75922</v>
      </c>
      <c r="AN31" s="83">
        <v>82672</v>
      </c>
      <c r="AO31" s="83">
        <v>89547</v>
      </c>
      <c r="AP31" s="83">
        <v>100315.753</v>
      </c>
      <c r="AQ31" s="83">
        <v>115218.492</v>
      </c>
      <c r="AR31" s="83">
        <v>114947.317</v>
      </c>
      <c r="AS31" s="96">
        <v>120697</v>
      </c>
      <c r="AT31" s="97">
        <v>121335.674</v>
      </c>
      <c r="AU31" s="97">
        <v>126663</v>
      </c>
      <c r="AV31" s="97">
        <v>135241</v>
      </c>
      <c r="AW31" s="97">
        <v>136108</v>
      </c>
      <c r="AX31" s="73">
        <v>72.295312300421514</v>
      </c>
      <c r="AY31" s="73">
        <v>85.155692892797717</v>
      </c>
      <c r="AZ31" s="73">
        <v>96.121791310145568</v>
      </c>
      <c r="BA31" s="73">
        <v>105.12312186978296</v>
      </c>
      <c r="BB31" s="73">
        <v>113.92467302586292</v>
      </c>
      <c r="BC31" s="73">
        <v>120.65278036079597</v>
      </c>
      <c r="BD31" s="73">
        <v>123.07081753241027</v>
      </c>
      <c r="BE31" s="73">
        <v>129.57061388795708</v>
      </c>
      <c r="BF31" s="73">
        <v>134.58310016787914</v>
      </c>
      <c r="BG31" s="73">
        <v>153.96364747212462</v>
      </c>
      <c r="BH31" s="73">
        <v>178.77768842751664</v>
      </c>
      <c r="BI31" s="73">
        <v>195.52761375290427</v>
      </c>
      <c r="BJ31" s="73">
        <v>186.76225907354259</v>
      </c>
      <c r="BK31" s="73">
        <v>222.51394383358524</v>
      </c>
      <c r="BL31" s="73">
        <v>249.30381282844851</v>
      </c>
      <c r="BM31" s="73">
        <v>290.97658928982707</v>
      </c>
      <c r="BN31" s="73">
        <v>362.97748232747415</v>
      </c>
      <c r="BO31" s="73">
        <v>397.96811644428396</v>
      </c>
      <c r="BP31" s="73">
        <v>409.36633348272807</v>
      </c>
      <c r="BQ31" s="73">
        <v>440.86699511730285</v>
      </c>
      <c r="BR31" s="73">
        <v>436.26360640696208</v>
      </c>
      <c r="BS31" s="73">
        <v>439.76415978318846</v>
      </c>
      <c r="BT31" s="73">
        <v>478.23222633853749</v>
      </c>
      <c r="BU31" s="73">
        <v>521.79297270036409</v>
      </c>
      <c r="BV31" s="73">
        <v>604.13721108188793</v>
      </c>
      <c r="BW31" s="73">
        <v>637.35840877153248</v>
      </c>
      <c r="BX31" s="73">
        <v>621.54780325409104</v>
      </c>
      <c r="BY31" s="73">
        <v>631.30679648073692</v>
      </c>
      <c r="BZ31" s="73">
        <v>620.4163012796181</v>
      </c>
      <c r="CA31" s="73">
        <v>670.72900789911409</v>
      </c>
      <c r="CB31" s="73">
        <v>681.02737937898735</v>
      </c>
      <c r="CC31" s="73">
        <v>684.46472488073721</v>
      </c>
      <c r="CD31" s="73">
        <v>664.13472218327854</v>
      </c>
      <c r="CE31" s="73">
        <v>707.37424744674036</v>
      </c>
      <c r="CF31" s="73">
        <v>677.49590474687068</v>
      </c>
      <c r="CG31" s="73">
        <v>714.73595653901873</v>
      </c>
      <c r="CH31" s="73">
        <v>750.77274332831598</v>
      </c>
      <c r="CI31" s="73">
        <v>816.38278287147944</v>
      </c>
      <c r="CJ31" s="73">
        <v>910.93650431724097</v>
      </c>
      <c r="CK31" s="73">
        <v>883.60669536604155</v>
      </c>
      <c r="CL31" s="73">
        <v>902.78546531631935</v>
      </c>
      <c r="CM31" s="73">
        <v>882.55038077435029</v>
      </c>
      <c r="CN31" s="73">
        <v>896.39285790110614</v>
      </c>
      <c r="CO31" s="73">
        <v>939.25840527269827</v>
      </c>
      <c r="CP31" s="73">
        <v>918.7609269422112</v>
      </c>
    </row>
    <row r="32" spans="1:94">
      <c r="A32" s="3" t="s">
        <v>725</v>
      </c>
      <c r="B32" s="3" t="s">
        <v>726</v>
      </c>
      <c r="C32" s="3">
        <v>24</v>
      </c>
      <c r="D32" s="3" t="s">
        <v>664</v>
      </c>
      <c r="E32" s="83">
        <v>84954</v>
      </c>
      <c r="F32" s="83">
        <v>89920</v>
      </c>
      <c r="G32" s="83">
        <v>99659</v>
      </c>
      <c r="H32" s="83">
        <v>116354</v>
      </c>
      <c r="I32" s="83">
        <v>136147</v>
      </c>
      <c r="J32" s="83">
        <v>166018</v>
      </c>
      <c r="K32" s="83">
        <v>184427</v>
      </c>
      <c r="L32" s="83">
        <v>189153</v>
      </c>
      <c r="M32" s="83">
        <v>197943</v>
      </c>
      <c r="N32" s="83">
        <v>207862</v>
      </c>
      <c r="O32" s="83">
        <v>224337</v>
      </c>
      <c r="P32" s="83">
        <v>209123</v>
      </c>
      <c r="Q32" s="83">
        <v>203843</v>
      </c>
      <c r="R32" s="83">
        <v>208540</v>
      </c>
      <c r="S32" s="83">
        <v>230762</v>
      </c>
      <c r="T32" s="83">
        <v>228748</v>
      </c>
      <c r="U32" s="83">
        <v>246493</v>
      </c>
      <c r="V32" s="83">
        <v>279485</v>
      </c>
      <c r="W32" s="83">
        <v>261135</v>
      </c>
      <c r="X32" s="83">
        <v>232261</v>
      </c>
      <c r="Y32" s="83">
        <v>238576</v>
      </c>
      <c r="Z32" s="83">
        <v>251536</v>
      </c>
      <c r="AA32" s="83">
        <v>267941</v>
      </c>
      <c r="AB32" s="83">
        <v>303843</v>
      </c>
      <c r="AC32" s="83">
        <v>340205</v>
      </c>
      <c r="AD32" s="83">
        <v>365224</v>
      </c>
      <c r="AE32" s="83">
        <v>388137</v>
      </c>
      <c r="AF32" s="83">
        <v>437025</v>
      </c>
      <c r="AG32" s="83">
        <v>485606</v>
      </c>
      <c r="AH32" s="83">
        <v>532782</v>
      </c>
      <c r="AI32" s="83">
        <v>544282</v>
      </c>
      <c r="AJ32" s="83">
        <v>564713</v>
      </c>
      <c r="AK32" s="83">
        <v>544923</v>
      </c>
      <c r="AL32" s="83">
        <v>567861</v>
      </c>
      <c r="AM32" s="83">
        <v>602318</v>
      </c>
      <c r="AN32" s="83">
        <v>656833</v>
      </c>
      <c r="AO32" s="83">
        <v>735365</v>
      </c>
      <c r="AP32" s="83">
        <v>830418.46699999983</v>
      </c>
      <c r="AQ32" s="83">
        <v>871786.98699999973</v>
      </c>
      <c r="AR32" s="83">
        <v>917640.48800000001</v>
      </c>
      <c r="AS32" s="96">
        <v>969778</v>
      </c>
      <c r="AT32" s="97">
        <v>1029785.4129999998</v>
      </c>
      <c r="AU32" s="97">
        <v>1159946</v>
      </c>
      <c r="AV32" s="97">
        <v>1268623</v>
      </c>
      <c r="AW32" s="97">
        <v>1345107</v>
      </c>
      <c r="AX32" s="73">
        <v>110.91150735937292</v>
      </c>
      <c r="AY32" s="73">
        <v>114.31022386218295</v>
      </c>
      <c r="AZ32" s="73">
        <v>123.44720169909449</v>
      </c>
      <c r="BA32" s="73">
        <v>140.52926320147628</v>
      </c>
      <c r="BB32" s="73">
        <v>160.42977981691158</v>
      </c>
      <c r="BC32" s="73">
        <v>190.97708120879986</v>
      </c>
      <c r="BD32" s="73">
        <v>207.22651733560093</v>
      </c>
      <c r="BE32" s="73">
        <v>207.71273526265006</v>
      </c>
      <c r="BF32" s="73">
        <v>212.54108700329985</v>
      </c>
      <c r="BG32" s="73">
        <v>218.34571674763603</v>
      </c>
      <c r="BH32" s="73">
        <v>230.64395906050964</v>
      </c>
      <c r="BI32" s="73">
        <v>211.65019861404102</v>
      </c>
      <c r="BJ32" s="73">
        <v>203.13930513308847</v>
      </c>
      <c r="BK32" s="73">
        <v>204.67801245420657</v>
      </c>
      <c r="BL32" s="73">
        <v>223.11513050903767</v>
      </c>
      <c r="BM32" s="73">
        <v>217.92212981184605</v>
      </c>
      <c r="BN32" s="73">
        <v>231.43094200326115</v>
      </c>
      <c r="BO32" s="73">
        <v>258.66581618581546</v>
      </c>
      <c r="BP32" s="73">
        <v>238.28547244736114</v>
      </c>
      <c r="BQ32" s="73">
        <v>209.0001411865193</v>
      </c>
      <c r="BR32" s="73">
        <v>211.74748746450365</v>
      </c>
      <c r="BS32" s="73">
        <v>220.23894475551722</v>
      </c>
      <c r="BT32" s="73">
        <v>230.33855359894693</v>
      </c>
      <c r="BU32" s="73">
        <v>256.53917680308939</v>
      </c>
      <c r="BV32" s="73">
        <v>282.20232032926765</v>
      </c>
      <c r="BW32" s="73">
        <v>297.73386591476145</v>
      </c>
      <c r="BX32" s="73">
        <v>311.05132699108765</v>
      </c>
      <c r="BY32" s="73">
        <v>344.39440722868511</v>
      </c>
      <c r="BZ32" s="73">
        <v>376.40660464509159</v>
      </c>
      <c r="CA32" s="73">
        <v>406.31493308160475</v>
      </c>
      <c r="CB32" s="73">
        <v>408.49824534331873</v>
      </c>
      <c r="CC32" s="73">
        <v>417.21159536356862</v>
      </c>
      <c r="CD32" s="73">
        <v>397.43670345529966</v>
      </c>
      <c r="CE32" s="73">
        <v>408.93125723996297</v>
      </c>
      <c r="CF32" s="73">
        <v>428.33046496325233</v>
      </c>
      <c r="CG32" s="73">
        <v>461.33944244928591</v>
      </c>
      <c r="CH32" s="73">
        <v>510.20779850259299</v>
      </c>
      <c r="CI32" s="73">
        <v>569.22513210164345</v>
      </c>
      <c r="CJ32" s="73">
        <v>590.47740858503823</v>
      </c>
      <c r="CK32" s="73">
        <v>614.2323237948566</v>
      </c>
      <c r="CL32" s="73">
        <v>641.59294377300671</v>
      </c>
      <c r="CM32" s="73">
        <v>673.27138359948333</v>
      </c>
      <c r="CN32" s="73">
        <v>749.51521554411852</v>
      </c>
      <c r="CO32" s="73">
        <v>817.69623451458631</v>
      </c>
      <c r="CP32" s="73">
        <v>855.55446013719586</v>
      </c>
    </row>
    <row r="33" spans="1:94">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U33" s="11"/>
      <c r="AV33" s="11"/>
      <c r="AW33" s="11"/>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row>
    <row r="34" spans="1:94">
      <c r="A34" s="3" t="s">
        <v>727</v>
      </c>
      <c r="E34" s="83">
        <v>4994967</v>
      </c>
      <c r="F34" s="83">
        <v>5253221</v>
      </c>
      <c r="G34" s="83">
        <v>5612771</v>
      </c>
      <c r="H34" s="83">
        <v>5855088</v>
      </c>
      <c r="I34" s="83">
        <v>6117211</v>
      </c>
      <c r="J34" s="83">
        <v>6621281</v>
      </c>
      <c r="K34" s="83">
        <v>6949655</v>
      </c>
      <c r="L34" s="83">
        <v>7112876</v>
      </c>
      <c r="M34" s="83">
        <v>7586227</v>
      </c>
      <c r="N34" s="83">
        <v>8039114</v>
      </c>
      <c r="O34" s="83">
        <v>8861785</v>
      </c>
      <c r="P34" s="83">
        <v>8959424</v>
      </c>
      <c r="Q34" s="83">
        <v>8638343</v>
      </c>
      <c r="R34" s="83">
        <v>9020066</v>
      </c>
      <c r="S34" s="83">
        <v>9577674</v>
      </c>
      <c r="T34" s="83">
        <v>9731511</v>
      </c>
      <c r="U34" s="83">
        <v>10539854</v>
      </c>
      <c r="V34" s="83">
        <v>11771278</v>
      </c>
      <c r="W34" s="83">
        <v>11130234</v>
      </c>
      <c r="X34" s="83">
        <v>10564288</v>
      </c>
      <c r="Y34" s="83">
        <v>11120798</v>
      </c>
      <c r="Z34" s="83">
        <v>11776687</v>
      </c>
      <c r="AA34" s="83">
        <v>13114097</v>
      </c>
      <c r="AB34" s="83">
        <v>14418675</v>
      </c>
      <c r="AC34" s="83">
        <v>15551932</v>
      </c>
      <c r="AD34" s="83">
        <v>16745382</v>
      </c>
      <c r="AE34" s="83">
        <v>17088191.581732072</v>
      </c>
      <c r="AF34" s="83">
        <v>18086730</v>
      </c>
      <c r="AG34" s="83">
        <v>18667650</v>
      </c>
      <c r="AH34" s="83">
        <v>20172881</v>
      </c>
      <c r="AI34" s="83">
        <v>20820667</v>
      </c>
      <c r="AJ34" s="83">
        <v>21512348.292999998</v>
      </c>
      <c r="AK34" s="83">
        <v>20643499</v>
      </c>
      <c r="AL34" s="83">
        <v>20939548</v>
      </c>
      <c r="AM34" s="83">
        <v>21770988</v>
      </c>
      <c r="AN34" s="83">
        <v>23576948</v>
      </c>
      <c r="AO34" s="83">
        <v>25606448</v>
      </c>
      <c r="AP34" s="83">
        <v>28839765.439889994</v>
      </c>
      <c r="AQ34" s="83">
        <v>30386061.027365994</v>
      </c>
      <c r="AR34" s="83">
        <v>31349359</v>
      </c>
      <c r="AS34" s="83">
        <v>33171091</v>
      </c>
      <c r="AT34" s="83">
        <v>35079992.500948042</v>
      </c>
      <c r="AU34" s="83">
        <v>37076221.922538429</v>
      </c>
      <c r="AV34" s="83">
        <v>38821075</v>
      </c>
      <c r="AW34" s="83">
        <v>40386606</v>
      </c>
      <c r="AX34" s="73">
        <v>213.78509067907538</v>
      </c>
      <c r="AY34" s="73">
        <v>220.51294450556955</v>
      </c>
      <c r="AZ34" s="73">
        <v>231.15864835080745</v>
      </c>
      <c r="BA34" s="73">
        <v>236.67118632448341</v>
      </c>
      <c r="BB34" s="73">
        <v>242.76923268638245</v>
      </c>
      <c r="BC34" s="73">
        <v>258.07985433704062</v>
      </c>
      <c r="BD34" s="73">
        <v>266.12511028465696</v>
      </c>
      <c r="BE34" s="73">
        <v>267.67766516278346</v>
      </c>
      <c r="BF34" s="73">
        <v>280.65077363661948</v>
      </c>
      <c r="BG34" s="73">
        <v>292.44685493128287</v>
      </c>
      <c r="BH34" s="73">
        <v>317.08747196434337</v>
      </c>
      <c r="BI34" s="73">
        <v>315.78604923329374</v>
      </c>
      <c r="BJ34" s="73">
        <v>299.98217125127815</v>
      </c>
      <c r="BK34" s="73">
        <v>308.68902952883275</v>
      </c>
      <c r="BL34" s="73">
        <v>323.07966320041908</v>
      </c>
      <c r="BM34" s="73">
        <v>323.63608984458938</v>
      </c>
      <c r="BN34" s="73">
        <v>345.64068421668981</v>
      </c>
      <c r="BO34" s="73">
        <v>380.72518429691087</v>
      </c>
      <c r="BP34" s="73">
        <v>355.11730669126808</v>
      </c>
      <c r="BQ34" s="73">
        <v>332.55765943712407</v>
      </c>
      <c r="BR34" s="73">
        <v>345.46127062161827</v>
      </c>
      <c r="BS34" s="73">
        <v>361.07608008062908</v>
      </c>
      <c r="BT34" s="73">
        <v>396.56055660796574</v>
      </c>
      <c r="BU34" s="73">
        <v>430.10442684049332</v>
      </c>
      <c r="BV34" s="73">
        <v>457.70959141235107</v>
      </c>
      <c r="BW34" s="73">
        <v>486.33485416604043</v>
      </c>
      <c r="BX34" s="73">
        <v>489.83142746285216</v>
      </c>
      <c r="BY34" s="73">
        <v>511.79306307585006</v>
      </c>
      <c r="BZ34" s="73">
        <v>521.53021756861733</v>
      </c>
      <c r="CA34" s="73">
        <v>556.52302183769166</v>
      </c>
      <c r="CB34" s="73">
        <v>567.28773328892532</v>
      </c>
      <c r="CC34" s="73">
        <v>578.97070173627844</v>
      </c>
      <c r="CD34" s="73">
        <v>550.05568236577653</v>
      </c>
      <c r="CE34" s="73">
        <v>552.44403191116464</v>
      </c>
      <c r="CF34" s="73">
        <v>568.77297489042667</v>
      </c>
      <c r="CG34" s="73">
        <v>609.99970686211464</v>
      </c>
      <c r="CH34" s="73">
        <v>656.16518365833383</v>
      </c>
      <c r="CI34" s="73">
        <v>732.01030548657843</v>
      </c>
      <c r="CJ34" s="73">
        <v>764.01266276574927</v>
      </c>
      <c r="CK34" s="73">
        <v>762.9046496862361</v>
      </c>
      <c r="CL34" s="73"/>
      <c r="CM34" s="73"/>
      <c r="CN34" s="73"/>
      <c r="CO34" s="73"/>
      <c r="CP34" s="73"/>
    </row>
    <row r="35" spans="1:94" ht="253">
      <c r="A35" s="7" t="s">
        <v>728</v>
      </c>
      <c r="B35" s="7"/>
      <c r="C35" s="7"/>
      <c r="D35" s="7"/>
      <c r="E35" s="1" t="s">
        <v>1887</v>
      </c>
      <c r="F35" s="1" t="s">
        <v>1887</v>
      </c>
      <c r="G35" s="1" t="s">
        <v>1887</v>
      </c>
      <c r="H35" s="1" t="s">
        <v>1887</v>
      </c>
      <c r="I35" s="1" t="s">
        <v>1887</v>
      </c>
      <c r="J35" s="1" t="s">
        <v>1887</v>
      </c>
      <c r="K35" s="1" t="s">
        <v>1887</v>
      </c>
      <c r="L35" s="1" t="s">
        <v>1887</v>
      </c>
      <c r="M35" s="1" t="s">
        <v>1887</v>
      </c>
      <c r="N35" s="1" t="s">
        <v>1887</v>
      </c>
      <c r="O35" s="1" t="s">
        <v>1887</v>
      </c>
      <c r="P35" s="1" t="s">
        <v>1887</v>
      </c>
      <c r="Q35" s="1" t="s">
        <v>1887</v>
      </c>
      <c r="R35" s="1" t="s">
        <v>1887</v>
      </c>
      <c r="S35" s="1" t="s">
        <v>1887</v>
      </c>
      <c r="T35" s="1" t="s">
        <v>1887</v>
      </c>
      <c r="U35" s="1" t="s">
        <v>1887</v>
      </c>
      <c r="V35" s="1" t="s">
        <v>1887</v>
      </c>
      <c r="W35" s="1" t="s">
        <v>1887</v>
      </c>
      <c r="X35" s="1" t="s">
        <v>1887</v>
      </c>
      <c r="Y35" s="1" t="s">
        <v>1887</v>
      </c>
      <c r="Z35" s="1" t="s">
        <v>1887</v>
      </c>
      <c r="AA35" s="1" t="s">
        <v>1887</v>
      </c>
      <c r="AB35" s="1" t="s">
        <v>1887</v>
      </c>
      <c r="AC35" s="1" t="s">
        <v>1887</v>
      </c>
      <c r="AD35" s="1" t="s">
        <v>1887</v>
      </c>
      <c r="AE35" s="1" t="s">
        <v>1887</v>
      </c>
      <c r="AF35" s="1" t="s">
        <v>1887</v>
      </c>
      <c r="AG35" s="1" t="s">
        <v>1887</v>
      </c>
      <c r="AH35" s="1" t="s">
        <v>1887</v>
      </c>
      <c r="AI35" s="1" t="s">
        <v>1887</v>
      </c>
      <c r="AJ35" s="1" t="s">
        <v>1887</v>
      </c>
      <c r="AK35" s="1" t="s">
        <v>1887</v>
      </c>
      <c r="AL35" s="1" t="s">
        <v>1887</v>
      </c>
      <c r="AM35" s="1" t="s">
        <v>1887</v>
      </c>
      <c r="AN35" s="1" t="s">
        <v>1887</v>
      </c>
      <c r="AO35" s="1" t="s">
        <v>1887</v>
      </c>
      <c r="AP35" s="1" t="s">
        <v>1887</v>
      </c>
      <c r="AQ35" s="1" t="s">
        <v>1887</v>
      </c>
      <c r="AR35" s="1" t="s">
        <v>1888</v>
      </c>
      <c r="AS35" s="1" t="s">
        <v>1888</v>
      </c>
      <c r="AT35" s="1" t="s">
        <v>1888</v>
      </c>
      <c r="AU35" s="1" t="s">
        <v>1966</v>
      </c>
      <c r="AV35" s="1" t="s">
        <v>3361</v>
      </c>
      <c r="AW35" s="1" t="s">
        <v>3363</v>
      </c>
      <c r="AX35" s="1" t="s">
        <v>1971</v>
      </c>
      <c r="AY35" s="1" t="s">
        <v>1766</v>
      </c>
      <c r="AZ35" s="1" t="s">
        <v>1766</v>
      </c>
      <c r="BA35" s="1" t="s">
        <v>1766</v>
      </c>
      <c r="BB35" s="1" t="s">
        <v>1766</v>
      </c>
      <c r="BC35" s="1" t="s">
        <v>1766</v>
      </c>
      <c r="BD35" s="1" t="s">
        <v>1766</v>
      </c>
      <c r="BE35" s="1" t="s">
        <v>1766</v>
      </c>
      <c r="BF35" s="1" t="s">
        <v>1766</v>
      </c>
      <c r="BG35" s="1" t="s">
        <v>1766</v>
      </c>
      <c r="BH35" s="1" t="s">
        <v>1766</v>
      </c>
      <c r="BI35" s="1" t="s">
        <v>1766</v>
      </c>
      <c r="BJ35" s="1" t="s">
        <v>1971</v>
      </c>
      <c r="BK35" s="1" t="s">
        <v>1766</v>
      </c>
      <c r="BL35" s="1" t="s">
        <v>1766</v>
      </c>
      <c r="BM35" s="1" t="s">
        <v>1766</v>
      </c>
      <c r="BN35" s="1" t="s">
        <v>1766</v>
      </c>
      <c r="BO35" s="1" t="s">
        <v>1766</v>
      </c>
      <c r="BP35" s="1" t="s">
        <v>1766</v>
      </c>
      <c r="BQ35" s="1" t="s">
        <v>1766</v>
      </c>
      <c r="BR35" s="1" t="s">
        <v>1766</v>
      </c>
      <c r="BS35" s="1" t="s">
        <v>1766</v>
      </c>
      <c r="BT35" s="1" t="s">
        <v>1766</v>
      </c>
      <c r="BU35" s="1" t="s">
        <v>1766</v>
      </c>
      <c r="BV35" s="1" t="s">
        <v>1766</v>
      </c>
      <c r="BW35" s="1" t="s">
        <v>1766</v>
      </c>
      <c r="BX35" s="1" t="s">
        <v>1766</v>
      </c>
      <c r="BY35" s="1" t="s">
        <v>1766</v>
      </c>
      <c r="BZ35" s="1" t="s">
        <v>1766</v>
      </c>
      <c r="CA35" s="1" t="s">
        <v>1766</v>
      </c>
      <c r="CB35" s="1" t="s">
        <v>1766</v>
      </c>
      <c r="CC35" s="1" t="s">
        <v>1766</v>
      </c>
      <c r="CD35" s="1" t="s">
        <v>1766</v>
      </c>
      <c r="CE35" s="1" t="s">
        <v>1766</v>
      </c>
      <c r="CF35" s="1" t="s">
        <v>1766</v>
      </c>
      <c r="CG35" s="1" t="s">
        <v>1766</v>
      </c>
      <c r="CH35" s="1" t="s">
        <v>1766</v>
      </c>
      <c r="CI35" s="1" t="s">
        <v>1766</v>
      </c>
      <c r="CJ35" s="1" t="s">
        <v>1766</v>
      </c>
      <c r="CK35" s="1" t="s">
        <v>1766</v>
      </c>
      <c r="CL35" s="1" t="s">
        <v>1766</v>
      </c>
      <c r="CM35" s="1" t="s">
        <v>1766</v>
      </c>
      <c r="CN35" s="1" t="s">
        <v>1766</v>
      </c>
      <c r="CO35" s="1" t="s">
        <v>1766</v>
      </c>
      <c r="CP35" s="1" t="s">
        <v>1766</v>
      </c>
    </row>
    <row r="36" spans="1:94" ht="231">
      <c r="A36" s="7"/>
      <c r="B36" s="7"/>
      <c r="C36" s="7"/>
      <c r="D36" s="7"/>
      <c r="E36" s="1" t="s">
        <v>109</v>
      </c>
      <c r="F36" s="1" t="s">
        <v>109</v>
      </c>
      <c r="G36" s="1" t="s">
        <v>109</v>
      </c>
      <c r="H36" s="1" t="s">
        <v>109</v>
      </c>
      <c r="I36" s="1" t="s">
        <v>109</v>
      </c>
      <c r="J36" s="1" t="s">
        <v>109</v>
      </c>
      <c r="K36" s="1" t="s">
        <v>109</v>
      </c>
      <c r="L36" s="1" t="s">
        <v>109</v>
      </c>
      <c r="M36" s="1" t="s">
        <v>109</v>
      </c>
      <c r="N36" s="1" t="s">
        <v>109</v>
      </c>
      <c r="O36" s="1" t="s">
        <v>109</v>
      </c>
      <c r="P36" s="1" t="s">
        <v>109</v>
      </c>
      <c r="Q36" s="1" t="s">
        <v>109</v>
      </c>
      <c r="R36" s="1" t="s">
        <v>109</v>
      </c>
      <c r="S36" s="1" t="s">
        <v>109</v>
      </c>
      <c r="T36" s="1" t="s">
        <v>109</v>
      </c>
      <c r="U36" s="1" t="s">
        <v>109</v>
      </c>
      <c r="V36" s="1" t="s">
        <v>109</v>
      </c>
      <c r="W36" s="1" t="s">
        <v>109</v>
      </c>
      <c r="X36" s="1" t="s">
        <v>109</v>
      </c>
      <c r="Y36" s="1" t="s">
        <v>109</v>
      </c>
      <c r="Z36" s="1" t="s">
        <v>109</v>
      </c>
      <c r="AA36" s="1" t="s">
        <v>109</v>
      </c>
      <c r="AB36" s="1" t="s">
        <v>109</v>
      </c>
      <c r="AC36" s="1" t="s">
        <v>109</v>
      </c>
      <c r="AD36" s="1" t="s">
        <v>109</v>
      </c>
      <c r="AE36" s="1" t="s">
        <v>109</v>
      </c>
      <c r="AF36" s="1" t="s">
        <v>109</v>
      </c>
      <c r="AG36" s="1" t="s">
        <v>109</v>
      </c>
      <c r="AH36" s="1" t="s">
        <v>109</v>
      </c>
      <c r="AI36" s="1" t="s">
        <v>109</v>
      </c>
      <c r="AJ36" s="1" t="s">
        <v>109</v>
      </c>
      <c r="AK36" s="1" t="s">
        <v>109</v>
      </c>
      <c r="AL36" s="1" t="s">
        <v>109</v>
      </c>
      <c r="AM36" s="1" t="s">
        <v>109</v>
      </c>
      <c r="AN36" s="1" t="s">
        <v>109</v>
      </c>
      <c r="AO36" s="1" t="s">
        <v>109</v>
      </c>
      <c r="AP36" s="1" t="s">
        <v>109</v>
      </c>
      <c r="AQ36" s="1" t="s">
        <v>109</v>
      </c>
      <c r="AR36" s="1" t="s">
        <v>109</v>
      </c>
      <c r="AS36" s="1" t="s">
        <v>109</v>
      </c>
      <c r="AT36" s="1" t="s">
        <v>109</v>
      </c>
      <c r="AU36" s="1" t="s">
        <v>1970</v>
      </c>
      <c r="AV36" s="1" t="s">
        <v>3362</v>
      </c>
      <c r="AW36" s="1" t="s">
        <v>3364</v>
      </c>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row>
    <row r="37" spans="1:94">
      <c r="AR37" s="55"/>
      <c r="AS37" s="55"/>
      <c r="AT37" s="55"/>
      <c r="AU37" s="55"/>
      <c r="AV37" s="55"/>
      <c r="AW37" s="55"/>
    </row>
    <row r="38" spans="1:94">
      <c r="AR38" s="55"/>
      <c r="AS38" s="55"/>
      <c r="AT38" s="55"/>
      <c r="AU38" s="55"/>
      <c r="AV38" s="55"/>
      <c r="AW38" s="55"/>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U34" workbookViewId="0">
      <pane xSplit="13300" topLeftCell="D1"/>
      <selection activeCell="AB36" sqref="AB36:AM36"/>
      <selection pane="topRight" activeCell="AM9" sqref="AM9"/>
    </sheetView>
  </sheetViews>
  <sheetFormatPr baseColWidth="10" defaultRowHeight="13" x14ac:dyDescent="0"/>
  <cols>
    <col min="1" max="1" width="15.140625" style="3" customWidth="1"/>
    <col min="2" max="3" width="5.7109375" style="3" customWidth="1"/>
    <col min="4" max="4" width="10.7109375" style="3"/>
    <col min="5" max="27" width="10.7109375" style="6"/>
    <col min="28" max="39" width="11" customWidth="1"/>
  </cols>
  <sheetData>
    <row r="1" spans="1:39" ht="14" customHeight="1">
      <c r="A1" s="137" t="s">
        <v>2404</v>
      </c>
    </row>
    <row r="2" spans="1:39" ht="14" customHeight="1">
      <c r="A2" s="1" t="s">
        <v>614</v>
      </c>
      <c r="B2" s="1"/>
      <c r="C2" s="1"/>
      <c r="D2" s="1"/>
      <c r="E2" s="1" t="s">
        <v>849</v>
      </c>
      <c r="F2" s="1" t="s">
        <v>849</v>
      </c>
      <c r="G2" s="1" t="s">
        <v>849</v>
      </c>
      <c r="H2" s="1" t="s">
        <v>849</v>
      </c>
      <c r="I2" s="1" t="s">
        <v>849</v>
      </c>
      <c r="J2" s="1" t="s">
        <v>849</v>
      </c>
      <c r="K2" s="1" t="s">
        <v>849</v>
      </c>
      <c r="L2" s="1" t="s">
        <v>849</v>
      </c>
      <c r="M2" s="1" t="s">
        <v>849</v>
      </c>
      <c r="N2" s="1" t="s">
        <v>849</v>
      </c>
      <c r="O2" s="1" t="s">
        <v>849</v>
      </c>
      <c r="P2" s="1" t="s">
        <v>849</v>
      </c>
      <c r="Q2" s="1" t="s">
        <v>849</v>
      </c>
      <c r="R2" s="1" t="s">
        <v>849</v>
      </c>
      <c r="S2" s="1" t="s">
        <v>849</v>
      </c>
      <c r="T2" s="1" t="s">
        <v>849</v>
      </c>
      <c r="U2" s="1" t="s">
        <v>849</v>
      </c>
      <c r="V2" s="1" t="s">
        <v>849</v>
      </c>
      <c r="W2" s="1" t="s">
        <v>849</v>
      </c>
      <c r="X2" s="1" t="s">
        <v>849</v>
      </c>
      <c r="Y2" s="1" t="s">
        <v>849</v>
      </c>
      <c r="Z2" s="1" t="s">
        <v>849</v>
      </c>
      <c r="AA2" s="1" t="s">
        <v>849</v>
      </c>
      <c r="AB2" s="1" t="s">
        <v>849</v>
      </c>
      <c r="AC2" s="1" t="s">
        <v>849</v>
      </c>
      <c r="AD2" s="1" t="s">
        <v>849</v>
      </c>
      <c r="AE2" s="1" t="s">
        <v>849</v>
      </c>
      <c r="AF2" s="1" t="s">
        <v>849</v>
      </c>
      <c r="AG2" s="1" t="s">
        <v>849</v>
      </c>
      <c r="AH2" s="1" t="s">
        <v>849</v>
      </c>
      <c r="AI2" s="1" t="s">
        <v>849</v>
      </c>
      <c r="AJ2" s="1" t="s">
        <v>849</v>
      </c>
      <c r="AK2" s="1" t="s">
        <v>849</v>
      </c>
      <c r="AL2" s="1" t="s">
        <v>849</v>
      </c>
      <c r="AM2" s="1" t="s">
        <v>849</v>
      </c>
    </row>
    <row r="3" spans="1:39" ht="14" customHeight="1">
      <c r="A3" s="1" t="s">
        <v>518</v>
      </c>
      <c r="B3" s="1"/>
      <c r="C3" s="1"/>
      <c r="D3" s="1"/>
      <c r="E3" s="1" t="s">
        <v>508</v>
      </c>
      <c r="F3" s="1" t="s">
        <v>508</v>
      </c>
      <c r="G3" s="1" t="s">
        <v>508</v>
      </c>
      <c r="H3" s="1" t="s">
        <v>508</v>
      </c>
      <c r="I3" s="1" t="s">
        <v>508</v>
      </c>
      <c r="J3" s="1" t="s">
        <v>508</v>
      </c>
      <c r="K3" s="1" t="s">
        <v>508</v>
      </c>
      <c r="L3" s="1" t="s">
        <v>508</v>
      </c>
      <c r="M3" s="1" t="s">
        <v>508</v>
      </c>
      <c r="N3" s="1" t="s">
        <v>508</v>
      </c>
      <c r="O3" s="1" t="s">
        <v>508</v>
      </c>
      <c r="P3" s="1" t="s">
        <v>508</v>
      </c>
      <c r="Q3" s="1" t="s">
        <v>508</v>
      </c>
      <c r="R3" s="1" t="s">
        <v>508</v>
      </c>
      <c r="S3" s="1" t="s">
        <v>508</v>
      </c>
      <c r="T3" s="1" t="s">
        <v>508</v>
      </c>
      <c r="U3" s="1" t="s">
        <v>508</v>
      </c>
      <c r="V3" s="1" t="s">
        <v>508</v>
      </c>
      <c r="W3" s="1" t="s">
        <v>508</v>
      </c>
      <c r="X3" s="1" t="s">
        <v>508</v>
      </c>
      <c r="Y3" s="1" t="s">
        <v>508</v>
      </c>
      <c r="Z3" s="1" t="s">
        <v>508</v>
      </c>
      <c r="AA3" s="1" t="s">
        <v>508</v>
      </c>
      <c r="AB3" s="1" t="s">
        <v>508</v>
      </c>
      <c r="AC3" s="1" t="s">
        <v>508</v>
      </c>
      <c r="AD3" s="1" t="s">
        <v>508</v>
      </c>
      <c r="AE3" s="1" t="s">
        <v>508</v>
      </c>
      <c r="AF3" s="1" t="s">
        <v>508</v>
      </c>
      <c r="AG3" s="1" t="s">
        <v>508</v>
      </c>
      <c r="AH3" s="1" t="s">
        <v>508</v>
      </c>
      <c r="AI3" s="1" t="s">
        <v>508</v>
      </c>
      <c r="AJ3" s="1" t="s">
        <v>508</v>
      </c>
      <c r="AK3" s="1" t="s">
        <v>508</v>
      </c>
      <c r="AL3" s="1" t="s">
        <v>508</v>
      </c>
      <c r="AM3" s="1" t="s">
        <v>508</v>
      </c>
    </row>
    <row r="4" spans="1:39" ht="14" customHeight="1">
      <c r="A4" s="1" t="s">
        <v>736</v>
      </c>
      <c r="B4" s="1"/>
      <c r="C4" s="1"/>
      <c r="D4" s="1"/>
      <c r="E4" s="1" t="s">
        <v>509</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4" customHeight="1">
      <c r="A5" s="1" t="s">
        <v>737</v>
      </c>
      <c r="B5" s="1"/>
      <c r="C5" s="1"/>
      <c r="D5" s="1"/>
      <c r="E5" s="1" t="s">
        <v>503</v>
      </c>
      <c r="F5" s="1" t="s">
        <v>551</v>
      </c>
      <c r="G5" s="1" t="s">
        <v>551</v>
      </c>
      <c r="H5" s="1" t="s">
        <v>551</v>
      </c>
      <c r="I5" s="1" t="s">
        <v>551</v>
      </c>
      <c r="J5" s="1" t="s">
        <v>551</v>
      </c>
      <c r="K5" s="1" t="s">
        <v>551</v>
      </c>
      <c r="L5" s="1" t="s">
        <v>551</v>
      </c>
      <c r="M5" s="1" t="s">
        <v>551</v>
      </c>
      <c r="N5" s="1" t="s">
        <v>551</v>
      </c>
      <c r="O5" s="1" t="s">
        <v>551</v>
      </c>
      <c r="P5" s="1" t="s">
        <v>551</v>
      </c>
      <c r="Q5" s="1" t="s">
        <v>2640</v>
      </c>
      <c r="R5" s="1" t="s">
        <v>2640</v>
      </c>
      <c r="S5" s="1" t="s">
        <v>2640</v>
      </c>
      <c r="T5" s="1" t="s">
        <v>2640</v>
      </c>
      <c r="U5" s="1" t="s">
        <v>2640</v>
      </c>
      <c r="V5" s="1" t="s">
        <v>2640</v>
      </c>
      <c r="W5" s="1" t="s">
        <v>2640</v>
      </c>
      <c r="X5" s="1" t="s">
        <v>2640</v>
      </c>
      <c r="Y5" s="1" t="s">
        <v>2640</v>
      </c>
      <c r="Z5" s="1" t="s">
        <v>1868</v>
      </c>
      <c r="AA5" s="1" t="s">
        <v>1868</v>
      </c>
      <c r="AB5" s="1" t="s">
        <v>3613</v>
      </c>
      <c r="AC5" s="1" t="s">
        <v>3613</v>
      </c>
      <c r="AD5" s="1" t="s">
        <v>3613</v>
      </c>
      <c r="AE5" s="1" t="s">
        <v>3613</v>
      </c>
      <c r="AF5" s="1" t="s">
        <v>3613</v>
      </c>
      <c r="AG5" s="1" t="s">
        <v>3613</v>
      </c>
      <c r="AH5" s="1" t="s">
        <v>3613</v>
      </c>
      <c r="AI5" s="1" t="s">
        <v>3613</v>
      </c>
      <c r="AJ5" s="1" t="s">
        <v>3613</v>
      </c>
      <c r="AK5" s="1" t="s">
        <v>3613</v>
      </c>
      <c r="AL5" s="1" t="s">
        <v>3613</v>
      </c>
      <c r="AM5" s="1" t="s">
        <v>3613</v>
      </c>
    </row>
    <row r="6" spans="1:39" ht="14" customHeight="1">
      <c r="A6" s="42" t="s">
        <v>560</v>
      </c>
      <c r="B6" s="42"/>
      <c r="C6" s="42"/>
      <c r="D6" s="42"/>
      <c r="E6" s="42">
        <v>1996</v>
      </c>
      <c r="F6" s="34">
        <v>1992</v>
      </c>
      <c r="G6" s="34">
        <v>1993</v>
      </c>
      <c r="H6" s="34">
        <v>1994</v>
      </c>
      <c r="I6" s="34">
        <v>1995</v>
      </c>
      <c r="J6" s="34">
        <v>1996</v>
      </c>
      <c r="K6" s="34">
        <v>1997</v>
      </c>
      <c r="L6" s="34">
        <v>1998</v>
      </c>
      <c r="M6" s="34">
        <v>1999</v>
      </c>
      <c r="N6" s="34">
        <v>2000</v>
      </c>
      <c r="O6" s="34">
        <v>2001</v>
      </c>
      <c r="P6" s="34">
        <v>2002</v>
      </c>
      <c r="Q6" s="34" t="s">
        <v>2528</v>
      </c>
      <c r="R6" s="34" t="s">
        <v>2529</v>
      </c>
      <c r="S6" s="34" t="s">
        <v>1880</v>
      </c>
      <c r="T6" s="34" t="s">
        <v>2530</v>
      </c>
      <c r="U6" s="34" t="s">
        <v>2531</v>
      </c>
      <c r="V6" s="34" t="s">
        <v>2532</v>
      </c>
      <c r="W6" s="34" t="s">
        <v>1907</v>
      </c>
      <c r="X6" s="34" t="s">
        <v>1826</v>
      </c>
      <c r="Y6" s="34" t="s">
        <v>1812</v>
      </c>
      <c r="Z6" s="34" t="s">
        <v>1869</v>
      </c>
      <c r="AA6" s="34" t="s">
        <v>1927</v>
      </c>
      <c r="AB6" s="34" t="s">
        <v>2528</v>
      </c>
      <c r="AC6" s="34" t="s">
        <v>2529</v>
      </c>
      <c r="AD6" s="34" t="s">
        <v>1880</v>
      </c>
      <c r="AE6" s="34" t="s">
        <v>2530</v>
      </c>
      <c r="AF6" s="34" t="s">
        <v>2531</v>
      </c>
      <c r="AG6" s="34" t="s">
        <v>2532</v>
      </c>
      <c r="AH6" s="34" t="s">
        <v>1907</v>
      </c>
      <c r="AI6" s="34" t="s">
        <v>1826</v>
      </c>
      <c r="AJ6" s="34" t="s">
        <v>1812</v>
      </c>
      <c r="AK6" s="34" t="s">
        <v>1869</v>
      </c>
      <c r="AL6" s="34" t="s">
        <v>1927</v>
      </c>
      <c r="AM6" s="34" t="s">
        <v>3348</v>
      </c>
    </row>
    <row r="7" spans="1:39" ht="77">
      <c r="A7" s="7" t="s">
        <v>3334</v>
      </c>
      <c r="B7" s="1"/>
      <c r="C7" s="1"/>
      <c r="D7" s="1"/>
      <c r="E7" s="1" t="s">
        <v>569</v>
      </c>
      <c r="F7" s="15" t="s">
        <v>901</v>
      </c>
      <c r="G7" s="15" t="s">
        <v>916</v>
      </c>
      <c r="H7" s="15" t="s">
        <v>917</v>
      </c>
      <c r="I7" s="15" t="s">
        <v>918</v>
      </c>
      <c r="J7" s="15" t="s">
        <v>824</v>
      </c>
      <c r="K7" s="15" t="s">
        <v>825</v>
      </c>
      <c r="L7" s="15" t="s">
        <v>915</v>
      </c>
      <c r="M7" s="15" t="s">
        <v>818</v>
      </c>
      <c r="N7" s="15" t="s">
        <v>951</v>
      </c>
      <c r="O7" s="15" t="s">
        <v>944</v>
      </c>
      <c r="P7" s="15" t="s">
        <v>934</v>
      </c>
      <c r="Q7" s="15" t="s">
        <v>2655</v>
      </c>
      <c r="R7" s="15" t="s">
        <v>2656</v>
      </c>
      <c r="S7" s="15" t="s">
        <v>2657</v>
      </c>
      <c r="T7" s="15" t="s">
        <v>2658</v>
      </c>
      <c r="U7" s="15" t="s">
        <v>2659</v>
      </c>
      <c r="V7" s="15" t="s">
        <v>2660</v>
      </c>
      <c r="W7" s="15" t="s">
        <v>2661</v>
      </c>
      <c r="X7" s="15" t="s">
        <v>2662</v>
      </c>
      <c r="Y7" s="15" t="s">
        <v>2663</v>
      </c>
      <c r="Z7" s="15" t="s">
        <v>1870</v>
      </c>
      <c r="AA7" s="15" t="s">
        <v>1928</v>
      </c>
      <c r="AB7" s="15" t="s">
        <v>3615</v>
      </c>
      <c r="AC7" s="15" t="s">
        <v>3616</v>
      </c>
      <c r="AD7" s="15" t="s">
        <v>3617</v>
      </c>
      <c r="AE7" s="15" t="s">
        <v>3618</v>
      </c>
      <c r="AF7" s="15" t="s">
        <v>3619</v>
      </c>
      <c r="AG7" s="15" t="s">
        <v>3620</v>
      </c>
      <c r="AH7" s="15" t="s">
        <v>3621</v>
      </c>
      <c r="AI7" s="15" t="s">
        <v>3622</v>
      </c>
      <c r="AJ7" s="15" t="s">
        <v>3623</v>
      </c>
      <c r="AK7" s="15" t="s">
        <v>3624</v>
      </c>
      <c r="AL7" s="15" t="s">
        <v>3614</v>
      </c>
      <c r="AM7" s="15" t="s">
        <v>3625</v>
      </c>
    </row>
    <row r="8" spans="1:39">
      <c r="A8" s="9" t="s">
        <v>572</v>
      </c>
      <c r="B8" s="9" t="s">
        <v>770</v>
      </c>
      <c r="C8" s="9" t="s">
        <v>771</v>
      </c>
      <c r="D8" s="9" t="s">
        <v>772</v>
      </c>
      <c r="E8" s="9" t="s">
        <v>515</v>
      </c>
      <c r="F8" s="9" t="s">
        <v>3581</v>
      </c>
      <c r="G8" s="9" t="s">
        <v>3582</v>
      </c>
      <c r="H8" s="9" t="s">
        <v>3583</v>
      </c>
      <c r="I8" s="9" t="s">
        <v>3584</v>
      </c>
      <c r="J8" s="9" t="s">
        <v>3585</v>
      </c>
      <c r="K8" s="9" t="s">
        <v>3586</v>
      </c>
      <c r="L8" s="9" t="s">
        <v>3587</v>
      </c>
      <c r="M8" s="9" t="s">
        <v>3588</v>
      </c>
      <c r="N8" s="9" t="s">
        <v>3589</v>
      </c>
      <c r="O8" s="9" t="s">
        <v>3590</v>
      </c>
      <c r="P8" s="9" t="s">
        <v>3591</v>
      </c>
      <c r="Q8" s="9" t="s">
        <v>3592</v>
      </c>
      <c r="R8" s="9" t="s">
        <v>3593</v>
      </c>
      <c r="S8" s="9" t="s">
        <v>3594</v>
      </c>
      <c r="T8" s="9" t="s">
        <v>3595</v>
      </c>
      <c r="U8" s="9" t="s">
        <v>3596</v>
      </c>
      <c r="V8" s="9" t="s">
        <v>3597</v>
      </c>
      <c r="W8" s="9" t="s">
        <v>3598</v>
      </c>
      <c r="X8" s="9" t="s">
        <v>3599</v>
      </c>
      <c r="Y8" s="9" t="s">
        <v>3600</v>
      </c>
      <c r="Z8" s="9" t="s">
        <v>1872</v>
      </c>
      <c r="AA8" s="9" t="s">
        <v>1926</v>
      </c>
      <c r="AB8" s="9" t="s">
        <v>3601</v>
      </c>
      <c r="AC8" s="9" t="s">
        <v>3602</v>
      </c>
      <c r="AD8" s="9" t="s">
        <v>3603</v>
      </c>
      <c r="AE8" s="9" t="s">
        <v>3604</v>
      </c>
      <c r="AF8" s="9" t="s">
        <v>3605</v>
      </c>
      <c r="AG8" s="9" t="s">
        <v>3606</v>
      </c>
      <c r="AH8" s="9" t="s">
        <v>3607</v>
      </c>
      <c r="AI8" s="9" t="s">
        <v>3608</v>
      </c>
      <c r="AJ8" s="9" t="s">
        <v>3609</v>
      </c>
      <c r="AK8" s="9" t="s">
        <v>1872</v>
      </c>
      <c r="AL8" s="9" t="s">
        <v>1926</v>
      </c>
      <c r="AM8" s="9" t="s">
        <v>3612</v>
      </c>
    </row>
    <row r="9" spans="1:39" ht="14" customHeight="1">
      <c r="A9" s="3" t="s">
        <v>850</v>
      </c>
      <c r="B9" s="3" t="s">
        <v>851</v>
      </c>
      <c r="C9" s="3">
        <v>1</v>
      </c>
      <c r="D9" s="3" t="s">
        <v>759</v>
      </c>
      <c r="E9" s="72">
        <v>22.3</v>
      </c>
      <c r="F9" s="30">
        <v>38.4</v>
      </c>
      <c r="G9" s="30">
        <v>39</v>
      </c>
      <c r="H9" s="30">
        <v>38.9</v>
      </c>
      <c r="I9" s="30">
        <v>41.8</v>
      </c>
      <c r="J9" s="30">
        <v>41.2</v>
      </c>
      <c r="K9" s="30">
        <v>41.9</v>
      </c>
      <c r="L9" s="30">
        <v>43.5</v>
      </c>
      <c r="M9" s="30">
        <v>42.6</v>
      </c>
      <c r="N9" s="30">
        <v>44</v>
      </c>
      <c r="O9" s="30">
        <v>47.2</v>
      </c>
      <c r="P9" s="30">
        <v>47.4</v>
      </c>
      <c r="Q9" s="73">
        <v>48.375575350718648</v>
      </c>
      <c r="R9" s="73">
        <v>47.125543936655475</v>
      </c>
      <c r="S9" s="73">
        <v>45.440054651863328</v>
      </c>
      <c r="T9" s="73">
        <v>44.272893075097471</v>
      </c>
      <c r="U9" s="73">
        <v>43.366536983669548</v>
      </c>
      <c r="V9" s="73">
        <v>41.34471520596712</v>
      </c>
      <c r="W9" s="73">
        <v>40.829079928801491</v>
      </c>
      <c r="X9" s="73">
        <v>39.668454610951009</v>
      </c>
      <c r="Y9" s="73">
        <v>38.86281488387862</v>
      </c>
      <c r="Z9" s="99">
        <v>37.984383000000001</v>
      </c>
      <c r="AA9" s="99">
        <v>39.113131000000003</v>
      </c>
      <c r="AB9" s="73">
        <v>48.146830000000001</v>
      </c>
      <c r="AC9" s="73">
        <v>45.950049999999997</v>
      </c>
      <c r="AD9" s="73">
        <v>44.128920000000001</v>
      </c>
      <c r="AE9" s="73">
        <v>45.657859999999999</v>
      </c>
      <c r="AF9" s="73">
        <v>44.241819999999997</v>
      </c>
      <c r="AG9" s="73">
        <v>42.540590000000002</v>
      </c>
      <c r="AH9" s="73">
        <v>41.70064</v>
      </c>
      <c r="AI9" s="73">
        <v>39.851309999999998</v>
      </c>
      <c r="AJ9" s="73">
        <v>39.966270000000002</v>
      </c>
      <c r="AK9" s="73">
        <v>37.984383000000001</v>
      </c>
      <c r="AL9" s="73">
        <v>39.113131000000003</v>
      </c>
      <c r="AM9" s="73">
        <v>39.970752999999995</v>
      </c>
    </row>
    <row r="10" spans="1:39" ht="14" customHeight="1">
      <c r="A10" s="3" t="s">
        <v>667</v>
      </c>
      <c r="B10" s="3" t="s">
        <v>668</v>
      </c>
      <c r="C10" s="3">
        <v>2</v>
      </c>
      <c r="D10" s="3" t="s">
        <v>759</v>
      </c>
      <c r="E10" s="72">
        <v>22.6</v>
      </c>
      <c r="F10" s="30">
        <v>39.4</v>
      </c>
      <c r="G10" s="30">
        <v>40</v>
      </c>
      <c r="H10" s="30">
        <v>42.6</v>
      </c>
      <c r="I10" s="30">
        <v>44.1</v>
      </c>
      <c r="J10" s="30">
        <v>42.6</v>
      </c>
      <c r="K10" s="30">
        <v>42.1</v>
      </c>
      <c r="L10" s="30">
        <v>43.1</v>
      </c>
      <c r="M10" s="30">
        <v>42.6</v>
      </c>
      <c r="N10" s="30">
        <v>43.6</v>
      </c>
      <c r="O10" s="30">
        <v>44</v>
      </c>
      <c r="P10" s="30">
        <v>44.8</v>
      </c>
      <c r="Q10" s="73">
        <v>54.76</v>
      </c>
      <c r="R10" s="73">
        <v>48.722500000000004</v>
      </c>
      <c r="S10" s="73">
        <v>46.432499999999997</v>
      </c>
      <c r="T10" s="73">
        <v>43.705000000000005</v>
      </c>
      <c r="U10" s="73">
        <v>43.88666666666667</v>
      </c>
      <c r="V10" s="73">
        <v>42.96</v>
      </c>
      <c r="W10" s="73">
        <v>39.682499999999997</v>
      </c>
      <c r="X10" s="73">
        <v>39.612499999999997</v>
      </c>
      <c r="Y10" s="73">
        <v>39.475000000000001</v>
      </c>
      <c r="Z10" s="99">
        <v>39.102319000000001</v>
      </c>
      <c r="AA10" s="99">
        <v>38.831848000000001</v>
      </c>
      <c r="AB10" s="73">
        <v>53.605159999999998</v>
      </c>
      <c r="AC10" s="73">
        <v>46.132669999999997</v>
      </c>
      <c r="AD10" s="73">
        <v>43.646909999999998</v>
      </c>
      <c r="AE10" s="73">
        <v>43.650880000000001</v>
      </c>
      <c r="AF10" s="73">
        <v>45.837859999999999</v>
      </c>
      <c r="AG10" s="73">
        <v>42.148820000000001</v>
      </c>
      <c r="AH10" s="73">
        <v>41.226030000000002</v>
      </c>
      <c r="AI10" s="73">
        <v>41.644300000000001</v>
      </c>
      <c r="AJ10" s="73">
        <v>40.659790000000001</v>
      </c>
      <c r="AK10" s="73">
        <v>39.102319000000001</v>
      </c>
      <c r="AL10" s="73">
        <v>38.831848000000001</v>
      </c>
      <c r="AM10" s="73">
        <v>38.547617000000002</v>
      </c>
    </row>
    <row r="11" spans="1:39" ht="14" customHeight="1">
      <c r="A11" s="3" t="s">
        <v>669</v>
      </c>
      <c r="B11" s="3" t="s">
        <v>663</v>
      </c>
      <c r="C11" s="3">
        <v>3</v>
      </c>
      <c r="D11" s="3" t="s">
        <v>664</v>
      </c>
      <c r="E11" s="72">
        <v>13.1</v>
      </c>
      <c r="F11" s="30">
        <v>42.3</v>
      </c>
      <c r="G11" s="30">
        <v>43.3</v>
      </c>
      <c r="H11" s="30">
        <v>43.8</v>
      </c>
      <c r="I11" s="30">
        <v>44.3</v>
      </c>
      <c r="J11" s="30">
        <v>41.7</v>
      </c>
      <c r="K11" s="30">
        <v>45.1</v>
      </c>
      <c r="L11" s="30">
        <v>44.2</v>
      </c>
      <c r="M11" s="30">
        <v>44.8</v>
      </c>
      <c r="N11" s="30">
        <v>47.1</v>
      </c>
      <c r="O11" s="30">
        <v>46.8</v>
      </c>
      <c r="P11" s="30">
        <v>45.2</v>
      </c>
      <c r="Q11" s="73">
        <v>48.209999999999994</v>
      </c>
      <c r="R11" s="73">
        <v>51.037500000000001</v>
      </c>
      <c r="S11" s="73">
        <v>50.8675</v>
      </c>
      <c r="T11" s="73">
        <v>47.94</v>
      </c>
      <c r="U11" s="73">
        <v>45.583333333333329</v>
      </c>
      <c r="V11" s="73">
        <v>42.7</v>
      </c>
      <c r="W11" s="73">
        <v>41.884999999999998</v>
      </c>
      <c r="X11" s="73">
        <v>42.234999999999999</v>
      </c>
      <c r="Y11" s="73">
        <v>40.335000000000001</v>
      </c>
      <c r="Z11" s="99">
        <v>44.255995999999996</v>
      </c>
      <c r="AA11" s="99">
        <v>42.20731</v>
      </c>
      <c r="AB11" s="73">
        <v>45.290170000000003</v>
      </c>
      <c r="AC11" s="73">
        <v>45.410800000000002</v>
      </c>
      <c r="AD11" s="73">
        <v>48.553750000000001</v>
      </c>
      <c r="AE11" s="73">
        <v>45.30742</v>
      </c>
      <c r="AF11" s="73">
        <v>42.914360000000002</v>
      </c>
      <c r="AG11" s="73">
        <v>44.515480000000004</v>
      </c>
      <c r="AH11" s="73">
        <v>41.589749999999995</v>
      </c>
      <c r="AI11" s="73">
        <v>42.5884</v>
      </c>
      <c r="AJ11" s="73">
        <v>42.619880000000002</v>
      </c>
      <c r="AK11" s="73">
        <v>44.255995999999996</v>
      </c>
      <c r="AL11" s="73">
        <v>42.20731</v>
      </c>
      <c r="AM11" s="73">
        <v>40.121192000000001</v>
      </c>
    </row>
    <row r="12" spans="1:39" ht="14" customHeight="1">
      <c r="A12" s="3" t="s">
        <v>665</v>
      </c>
      <c r="B12" s="3" t="s">
        <v>640</v>
      </c>
      <c r="C12" s="3">
        <v>4</v>
      </c>
      <c r="D12" s="3" t="s">
        <v>641</v>
      </c>
      <c r="E12" s="72">
        <v>18</v>
      </c>
      <c r="F12" s="30">
        <v>47.8</v>
      </c>
      <c r="G12" s="30">
        <v>44.8</v>
      </c>
      <c r="H12" s="30">
        <v>45.2</v>
      </c>
      <c r="I12" s="30">
        <v>46.1</v>
      </c>
      <c r="J12" s="30">
        <v>45.7</v>
      </c>
      <c r="K12" s="30">
        <v>46.3</v>
      </c>
      <c r="L12" s="30">
        <v>51</v>
      </c>
      <c r="M12" s="30">
        <v>50.6</v>
      </c>
      <c r="N12" s="30">
        <v>51.7</v>
      </c>
      <c r="O12" s="30">
        <v>52.5</v>
      </c>
      <c r="P12" s="30">
        <v>51.3</v>
      </c>
      <c r="Q12" s="73">
        <v>52.019999999999996</v>
      </c>
      <c r="R12" s="73">
        <v>49.217500000000001</v>
      </c>
      <c r="S12" s="73">
        <v>49.305000000000007</v>
      </c>
      <c r="T12" s="73">
        <v>49.162500000000001</v>
      </c>
      <c r="U12" s="73">
        <v>47.18333333333333</v>
      </c>
      <c r="V12" s="73">
        <v>44.207499999999996</v>
      </c>
      <c r="W12" s="73">
        <v>38.56</v>
      </c>
      <c r="X12" s="73">
        <v>36.597499999999997</v>
      </c>
      <c r="Y12" s="73">
        <v>36.262500000000003</v>
      </c>
      <c r="Z12" s="99">
        <v>37.537372000000005</v>
      </c>
      <c r="AA12" s="99">
        <v>40.330126999999997</v>
      </c>
      <c r="AB12" s="73">
        <v>49.838830000000002</v>
      </c>
      <c r="AC12" s="73">
        <v>48.317630000000001</v>
      </c>
      <c r="AD12" s="73">
        <v>52.067240000000005</v>
      </c>
      <c r="AE12" s="73">
        <v>50.204099999999997</v>
      </c>
      <c r="AF12" s="73">
        <v>49.644359999999999</v>
      </c>
      <c r="AG12" s="73">
        <v>44.965500000000006</v>
      </c>
      <c r="AH12" s="73">
        <v>44.203920000000004</v>
      </c>
      <c r="AI12" s="73">
        <v>41.350250000000003</v>
      </c>
      <c r="AJ12" s="73">
        <v>37.709969999999998</v>
      </c>
      <c r="AK12" s="73">
        <v>37.537372000000005</v>
      </c>
      <c r="AL12" s="73">
        <v>40.330126999999997</v>
      </c>
      <c r="AM12" s="73">
        <v>39.750937</v>
      </c>
    </row>
    <row r="13" spans="1:39" ht="14" customHeight="1">
      <c r="A13" s="3" t="s">
        <v>539</v>
      </c>
      <c r="B13" s="3" t="s">
        <v>540</v>
      </c>
      <c r="C13" s="3">
        <v>5</v>
      </c>
      <c r="D13" s="3" t="s">
        <v>541</v>
      </c>
      <c r="E13" s="72">
        <v>16.8</v>
      </c>
      <c r="F13" s="30">
        <v>38.4</v>
      </c>
      <c r="G13" s="30">
        <v>38.5</v>
      </c>
      <c r="H13" s="30">
        <v>41</v>
      </c>
      <c r="I13" s="30">
        <v>38.799999999999997</v>
      </c>
      <c r="J13" s="30">
        <v>40.200000000000003</v>
      </c>
      <c r="K13" s="30">
        <v>42.7</v>
      </c>
      <c r="L13" s="30">
        <v>43.2</v>
      </c>
      <c r="M13" s="30">
        <v>44.6</v>
      </c>
      <c r="N13" s="30">
        <v>44.6</v>
      </c>
      <c r="O13" s="30">
        <v>44.3</v>
      </c>
      <c r="P13" s="30">
        <v>45.8</v>
      </c>
      <c r="Q13" s="73">
        <v>45.82</v>
      </c>
      <c r="R13" s="73">
        <v>48.147500000000001</v>
      </c>
      <c r="S13" s="73">
        <v>46.442500000000003</v>
      </c>
      <c r="T13" s="73">
        <v>45.261592592592592</v>
      </c>
      <c r="U13" s="73">
        <v>40.801604938271602</v>
      </c>
      <c r="V13" s="73">
        <v>38.392111111111113</v>
      </c>
      <c r="W13" s="73">
        <v>38.923277777777777</v>
      </c>
      <c r="X13" s="73">
        <v>40.793314814814813</v>
      </c>
      <c r="Y13" s="73">
        <v>42.172425925925928</v>
      </c>
      <c r="Z13" s="99">
        <v>41.413912000000003</v>
      </c>
      <c r="AA13" s="99">
        <v>39.193252000000001</v>
      </c>
      <c r="AB13" s="73">
        <v>46.086909999999996</v>
      </c>
      <c r="AC13" s="73">
        <v>42.716730000000005</v>
      </c>
      <c r="AD13" s="73">
        <v>41.844700000000003</v>
      </c>
      <c r="AE13" s="73">
        <v>47.995260000000002</v>
      </c>
      <c r="AF13" s="73">
        <v>41.963080000000005</v>
      </c>
      <c r="AG13" s="73">
        <v>41.280329999999999</v>
      </c>
      <c r="AH13" s="73">
        <v>40.947070000000004</v>
      </c>
      <c r="AI13" s="73">
        <v>43.59901</v>
      </c>
      <c r="AJ13" s="73">
        <v>42.690020000000004</v>
      </c>
      <c r="AK13" s="73">
        <v>41.413912000000003</v>
      </c>
      <c r="AL13" s="73">
        <v>39.193252000000001</v>
      </c>
      <c r="AM13" s="73">
        <v>39.599806000000001</v>
      </c>
    </row>
    <row r="14" spans="1:39" ht="14" customHeight="1">
      <c r="A14" s="3" t="s">
        <v>542</v>
      </c>
      <c r="B14" s="3" t="s">
        <v>543</v>
      </c>
      <c r="C14" s="3">
        <v>6</v>
      </c>
      <c r="D14" s="3" t="s">
        <v>759</v>
      </c>
      <c r="E14" s="72">
        <v>14.8</v>
      </c>
      <c r="F14" s="30">
        <v>39.700000000000003</v>
      </c>
      <c r="G14" s="30">
        <v>38.5</v>
      </c>
      <c r="H14" s="30">
        <v>41.3</v>
      </c>
      <c r="I14" s="30">
        <v>40.200000000000003</v>
      </c>
      <c r="J14" s="30" t="s">
        <v>935</v>
      </c>
      <c r="K14" s="30">
        <v>40.700000000000003</v>
      </c>
      <c r="L14" s="30">
        <v>41.1</v>
      </c>
      <c r="M14" s="30">
        <v>42.8</v>
      </c>
      <c r="N14" s="30">
        <v>42.2</v>
      </c>
      <c r="O14" s="30">
        <v>42.5</v>
      </c>
      <c r="P14" s="30">
        <v>44.4</v>
      </c>
      <c r="Q14" s="73">
        <v>50.817841055341056</v>
      </c>
      <c r="R14" s="73">
        <v>49.454795688545687</v>
      </c>
      <c r="S14" s="73">
        <v>47.81708815958816</v>
      </c>
      <c r="T14" s="73">
        <v>46.382039897039895</v>
      </c>
      <c r="U14" s="73">
        <v>43.467595452595447</v>
      </c>
      <c r="V14" s="73">
        <v>41.755805984555984</v>
      </c>
      <c r="W14" s="73">
        <v>41.637287644787648</v>
      </c>
      <c r="X14" s="73">
        <v>39.396994851994855</v>
      </c>
      <c r="Y14" s="73">
        <v>38.655284749034749</v>
      </c>
      <c r="Z14" s="99">
        <v>39.429116</v>
      </c>
      <c r="AA14" s="99">
        <v>42.182285</v>
      </c>
      <c r="AB14" s="73">
        <v>45.320319999999995</v>
      </c>
      <c r="AC14" s="73">
        <v>45.096380000000003</v>
      </c>
      <c r="AD14" s="73">
        <v>46.178249999999998</v>
      </c>
      <c r="AE14" s="73">
        <v>43.359589999999997</v>
      </c>
      <c r="AF14" s="73">
        <v>41.229860000000002</v>
      </c>
      <c r="AG14" s="73">
        <v>45.575559999999996</v>
      </c>
      <c r="AH14" s="73">
        <v>40.984320000000004</v>
      </c>
      <c r="AI14" s="73">
        <v>42.179539999999996</v>
      </c>
      <c r="AJ14" s="73">
        <v>41.145510000000002</v>
      </c>
      <c r="AK14" s="73">
        <v>39.429116</v>
      </c>
      <c r="AL14" s="73">
        <v>42.182285</v>
      </c>
      <c r="AM14" s="73">
        <v>42.601037000000005</v>
      </c>
    </row>
    <row r="15" spans="1:39" ht="14" customHeight="1">
      <c r="A15" s="3" t="s">
        <v>628</v>
      </c>
      <c r="B15" s="3" t="s">
        <v>629</v>
      </c>
      <c r="C15" s="3">
        <v>7</v>
      </c>
      <c r="D15" s="3" t="s">
        <v>641</v>
      </c>
      <c r="E15" s="72">
        <v>15</v>
      </c>
      <c r="F15" s="30">
        <v>43</v>
      </c>
      <c r="G15" s="30">
        <v>43.5</v>
      </c>
      <c r="H15" s="30">
        <v>43.2</v>
      </c>
      <c r="I15" s="30">
        <v>43.6</v>
      </c>
      <c r="J15" s="30">
        <v>43.8</v>
      </c>
      <c r="K15" s="30">
        <v>46</v>
      </c>
      <c r="L15" s="30">
        <v>46</v>
      </c>
      <c r="M15" s="30">
        <v>42.6</v>
      </c>
      <c r="N15" s="30">
        <v>42.9</v>
      </c>
      <c r="O15" s="30">
        <v>49.2</v>
      </c>
      <c r="P15" s="30">
        <v>44.8</v>
      </c>
      <c r="Q15" s="73">
        <v>56.305000000000007</v>
      </c>
      <c r="R15" s="73">
        <v>53.605000000000004</v>
      </c>
      <c r="S15" s="73">
        <v>50.137500000000003</v>
      </c>
      <c r="T15" s="73">
        <v>50.987499999999997</v>
      </c>
      <c r="U15" s="73">
        <v>46.96</v>
      </c>
      <c r="V15" s="73">
        <v>46.5075</v>
      </c>
      <c r="W15" s="73">
        <v>45.45</v>
      </c>
      <c r="X15" s="73">
        <v>44.702499999999993</v>
      </c>
      <c r="Y15" s="73">
        <v>45.57</v>
      </c>
      <c r="Z15" s="99">
        <v>42.049121999999997</v>
      </c>
      <c r="AA15" s="99">
        <v>42.804554000000003</v>
      </c>
      <c r="AB15" s="73">
        <v>50.568310000000004</v>
      </c>
      <c r="AC15" s="73">
        <v>47.24165</v>
      </c>
      <c r="AD15" s="73">
        <v>46.423299999999998</v>
      </c>
      <c r="AE15" s="73">
        <v>48.732839999999996</v>
      </c>
      <c r="AF15" s="73">
        <v>50.361999999999995</v>
      </c>
      <c r="AG15" s="73">
        <v>45.958640000000003</v>
      </c>
      <c r="AH15" s="73">
        <v>49.713419999999999</v>
      </c>
      <c r="AI15" s="73">
        <v>44.761360000000003</v>
      </c>
      <c r="AJ15" s="73">
        <v>44.525230000000001</v>
      </c>
      <c r="AK15" s="73">
        <v>42.049121999999997</v>
      </c>
      <c r="AL15" s="73">
        <v>42.804554000000003</v>
      </c>
      <c r="AM15" s="73">
        <v>42.730963000000003</v>
      </c>
    </row>
    <row r="16" spans="1:39" ht="14" customHeight="1">
      <c r="A16" s="3" t="s">
        <v>630</v>
      </c>
      <c r="B16" s="3" t="s">
        <v>631</v>
      </c>
      <c r="C16" s="3">
        <v>8</v>
      </c>
      <c r="D16" s="3" t="s">
        <v>759</v>
      </c>
      <c r="E16" s="72">
        <v>17.5</v>
      </c>
      <c r="F16" s="30">
        <v>40.200000000000003</v>
      </c>
      <c r="G16" s="30">
        <v>39.6</v>
      </c>
      <c r="H16" s="30">
        <v>40.1</v>
      </c>
      <c r="I16" s="30">
        <v>40.1</v>
      </c>
      <c r="J16" s="30">
        <v>43.6</v>
      </c>
      <c r="K16" s="30">
        <v>44.1</v>
      </c>
      <c r="L16" s="30">
        <v>43.3</v>
      </c>
      <c r="M16" s="30">
        <v>44.7</v>
      </c>
      <c r="N16" s="30">
        <v>44.7</v>
      </c>
      <c r="O16" s="30">
        <v>44</v>
      </c>
      <c r="P16" s="30">
        <v>48.3</v>
      </c>
      <c r="Q16" s="73">
        <v>52.24573113207547</v>
      </c>
      <c r="R16" s="73">
        <v>46.932954009433963</v>
      </c>
      <c r="S16" s="73">
        <v>46.785495283018868</v>
      </c>
      <c r="T16" s="73">
        <v>44.033349056603768</v>
      </c>
      <c r="U16" s="73">
        <v>42.130699685534587</v>
      </c>
      <c r="V16" s="73">
        <v>40.791025943396228</v>
      </c>
      <c r="W16" s="73">
        <v>40.118396226415094</v>
      </c>
      <c r="X16" s="73">
        <v>41.571586084905661</v>
      </c>
      <c r="Y16" s="73">
        <v>39.395406839622645</v>
      </c>
      <c r="Z16" s="99">
        <v>38.162731999999998</v>
      </c>
      <c r="AA16" s="99">
        <v>37.269904999999994</v>
      </c>
      <c r="AB16" s="73">
        <v>48.761110000000002</v>
      </c>
      <c r="AC16" s="73">
        <v>43.070999999999998</v>
      </c>
      <c r="AD16" s="73">
        <v>45.418559999999999</v>
      </c>
      <c r="AE16" s="73">
        <v>44.16498</v>
      </c>
      <c r="AF16" s="73">
        <v>40.755980000000001</v>
      </c>
      <c r="AG16" s="73">
        <v>44.5334</v>
      </c>
      <c r="AH16" s="73">
        <v>41.795580000000001</v>
      </c>
      <c r="AI16" s="73">
        <v>41.675989999999999</v>
      </c>
      <c r="AJ16" s="73">
        <v>39.700859999999999</v>
      </c>
      <c r="AK16" s="73">
        <v>38.162731999999998</v>
      </c>
      <c r="AL16" s="73">
        <v>37.269904999999994</v>
      </c>
      <c r="AM16" s="73">
        <v>38.450631000000001</v>
      </c>
    </row>
    <row r="17" spans="1:39" ht="14" customHeight="1">
      <c r="A17" s="3" t="s">
        <v>632</v>
      </c>
      <c r="B17" s="3" t="s">
        <v>633</v>
      </c>
      <c r="C17" s="3">
        <v>9</v>
      </c>
      <c r="D17" s="3" t="s">
        <v>641</v>
      </c>
      <c r="E17" s="72">
        <v>18</v>
      </c>
      <c r="F17" s="30">
        <v>42.6</v>
      </c>
      <c r="G17" s="30">
        <v>42.9</v>
      </c>
      <c r="H17" s="30">
        <v>42.7</v>
      </c>
      <c r="I17" s="30">
        <v>42.4</v>
      </c>
      <c r="J17" s="30">
        <v>46</v>
      </c>
      <c r="K17" s="30">
        <v>44.4</v>
      </c>
      <c r="L17" s="30">
        <v>47</v>
      </c>
      <c r="M17" s="30">
        <v>48.5</v>
      </c>
      <c r="N17" s="30">
        <v>51</v>
      </c>
      <c r="O17" s="30">
        <v>51.7</v>
      </c>
      <c r="P17" s="30">
        <v>47.4</v>
      </c>
      <c r="Q17" s="73">
        <v>46.61</v>
      </c>
      <c r="R17" s="73">
        <v>45.68</v>
      </c>
      <c r="S17" s="73">
        <v>39.5625</v>
      </c>
      <c r="T17" s="73">
        <v>42.59</v>
      </c>
      <c r="U17" s="73">
        <v>40.026666666666671</v>
      </c>
      <c r="V17" s="73">
        <v>34.97</v>
      </c>
      <c r="W17" s="73">
        <v>35.887500000000003</v>
      </c>
      <c r="X17" s="73">
        <v>35.255000000000003</v>
      </c>
      <c r="Y17" s="73">
        <v>34.11</v>
      </c>
      <c r="Z17" s="99">
        <v>38.497108000000004</v>
      </c>
      <c r="AA17" s="99">
        <v>39.998033999999997</v>
      </c>
      <c r="AB17" s="73">
        <v>43.028329999999997</v>
      </c>
      <c r="AC17" s="73">
        <v>52.179089999999995</v>
      </c>
      <c r="AD17" s="73">
        <v>42.941479999999999</v>
      </c>
      <c r="AE17" s="73">
        <v>44.890809999999995</v>
      </c>
      <c r="AF17" s="73">
        <v>41.901150000000001</v>
      </c>
      <c r="AG17" s="73">
        <v>39.096260000000001</v>
      </c>
      <c r="AH17" s="73">
        <v>43.188720000000004</v>
      </c>
      <c r="AI17" s="73">
        <v>39.243369999999999</v>
      </c>
      <c r="AJ17" s="73">
        <v>38.325290000000003</v>
      </c>
      <c r="AK17" s="73">
        <v>38.497108000000004</v>
      </c>
      <c r="AL17" s="73">
        <v>39.998033999999997</v>
      </c>
      <c r="AM17" s="73">
        <v>34.701200999999998</v>
      </c>
    </row>
    <row r="18" spans="1:39" ht="14" customHeight="1">
      <c r="A18" s="3" t="s">
        <v>634</v>
      </c>
      <c r="B18" s="3" t="s">
        <v>715</v>
      </c>
      <c r="C18" s="3">
        <v>10</v>
      </c>
      <c r="D18" s="3" t="s">
        <v>664</v>
      </c>
      <c r="E18" s="72">
        <v>14.1</v>
      </c>
      <c r="F18" s="30">
        <v>46.8</v>
      </c>
      <c r="G18" s="30">
        <v>45.1</v>
      </c>
      <c r="H18" s="30">
        <v>43.6</v>
      </c>
      <c r="I18" s="30">
        <v>43.4</v>
      </c>
      <c r="J18" s="30">
        <v>43.7</v>
      </c>
      <c r="K18" s="30">
        <v>46.2</v>
      </c>
      <c r="L18" s="30">
        <v>49.8</v>
      </c>
      <c r="M18" s="30">
        <v>46.1</v>
      </c>
      <c r="N18" s="30">
        <v>46.7</v>
      </c>
      <c r="O18" s="30">
        <v>49.4</v>
      </c>
      <c r="P18" s="30">
        <v>47.8</v>
      </c>
      <c r="Q18" s="73">
        <v>46.924999999999997</v>
      </c>
      <c r="R18" s="73">
        <v>49.592499999999994</v>
      </c>
      <c r="S18" s="73">
        <v>49.77</v>
      </c>
      <c r="T18" s="73">
        <v>49.442499999999995</v>
      </c>
      <c r="U18" s="73">
        <v>46.060000000000009</v>
      </c>
      <c r="V18" s="73">
        <v>46.487499999999997</v>
      </c>
      <c r="W18" s="73">
        <v>45.045000000000002</v>
      </c>
      <c r="X18" s="73">
        <v>43.26</v>
      </c>
      <c r="Y18" s="73">
        <v>42.484999999999999</v>
      </c>
      <c r="Z18" s="99">
        <v>42.163646</v>
      </c>
      <c r="AA18" s="99">
        <v>37.289389999999997</v>
      </c>
      <c r="AB18" s="73">
        <v>46.674840000000003</v>
      </c>
      <c r="AC18" s="73">
        <v>45.790140000000001</v>
      </c>
      <c r="AD18" s="73">
        <v>47.905950000000004</v>
      </c>
      <c r="AE18" s="73">
        <v>47.008719999999997</v>
      </c>
      <c r="AF18" s="73">
        <v>42.268460000000005</v>
      </c>
      <c r="AG18" s="73">
        <v>42.159550000000003</v>
      </c>
      <c r="AH18" s="73">
        <v>47.181930000000001</v>
      </c>
      <c r="AI18" s="73">
        <v>40.066030000000005</v>
      </c>
      <c r="AJ18" s="73">
        <v>47.688000000000002</v>
      </c>
      <c r="AK18" s="73">
        <v>42.163646</v>
      </c>
      <c r="AL18" s="73">
        <v>37.289389999999997</v>
      </c>
      <c r="AM18" s="73">
        <v>38.022137000000001</v>
      </c>
    </row>
    <row r="19" spans="1:39" ht="14" customHeight="1">
      <c r="A19" s="3" t="s">
        <v>716</v>
      </c>
      <c r="B19" s="3" t="s">
        <v>717</v>
      </c>
      <c r="C19" s="3">
        <v>11</v>
      </c>
      <c r="D19" s="3" t="s">
        <v>541</v>
      </c>
      <c r="E19" s="72">
        <v>14.4</v>
      </c>
      <c r="F19" s="30">
        <v>37.4</v>
      </c>
      <c r="G19" s="30">
        <v>37.200000000000003</v>
      </c>
      <c r="H19" s="30">
        <v>38.700000000000003</v>
      </c>
      <c r="I19" s="30">
        <v>41.1</v>
      </c>
      <c r="J19" s="30">
        <v>40.9</v>
      </c>
      <c r="K19" s="30">
        <v>44.2</v>
      </c>
      <c r="L19" s="30">
        <v>39.700000000000003</v>
      </c>
      <c r="M19" s="30">
        <v>39.6</v>
      </c>
      <c r="N19" s="30">
        <v>41.8</v>
      </c>
      <c r="O19" s="30">
        <v>45.2</v>
      </c>
      <c r="P19" s="30">
        <v>46.5</v>
      </c>
      <c r="Q19" s="73">
        <v>45.844999999999999</v>
      </c>
      <c r="R19" s="73">
        <v>45.269999999999996</v>
      </c>
      <c r="S19" s="73">
        <v>42.535000000000004</v>
      </c>
      <c r="T19" s="73">
        <v>40.550000000000004</v>
      </c>
      <c r="U19" s="73">
        <v>40.856666666666669</v>
      </c>
      <c r="V19" s="73">
        <v>41.410000000000004</v>
      </c>
      <c r="W19" s="73">
        <v>36.549999999999997</v>
      </c>
      <c r="X19" s="73">
        <v>34.652499999999996</v>
      </c>
      <c r="Y19" s="73">
        <v>36.392499999999998</v>
      </c>
      <c r="Z19" s="99">
        <v>38.303821999999997</v>
      </c>
      <c r="AA19" s="99">
        <v>38.629285000000003</v>
      </c>
      <c r="AB19" s="73">
        <v>49.92127</v>
      </c>
      <c r="AC19" s="73">
        <v>45.759699999999995</v>
      </c>
      <c r="AD19" s="73">
        <v>44.050309999999996</v>
      </c>
      <c r="AE19" s="73">
        <v>43.844830000000002</v>
      </c>
      <c r="AF19" s="73">
        <v>39.904240000000001</v>
      </c>
      <c r="AG19" s="73">
        <v>44.282899999999998</v>
      </c>
      <c r="AH19" s="73">
        <v>40.320869999999999</v>
      </c>
      <c r="AI19" s="73">
        <v>40.868310000000001</v>
      </c>
      <c r="AJ19" s="73">
        <v>39.997519999999994</v>
      </c>
      <c r="AK19" s="73">
        <v>38.303821999999997</v>
      </c>
      <c r="AL19" s="73">
        <v>38.629285000000003</v>
      </c>
      <c r="AM19" s="73">
        <v>35.594313999999997</v>
      </c>
    </row>
    <row r="20" spans="1:39" ht="14" customHeight="1">
      <c r="A20" s="3" t="s">
        <v>718</v>
      </c>
      <c r="B20" s="3" t="s">
        <v>719</v>
      </c>
      <c r="C20" s="3">
        <v>12</v>
      </c>
      <c r="D20" s="3" t="s">
        <v>664</v>
      </c>
      <c r="E20" s="72">
        <v>15.3</v>
      </c>
      <c r="F20" s="30">
        <v>41.9</v>
      </c>
      <c r="G20" s="30">
        <v>42.8</v>
      </c>
      <c r="H20" s="30">
        <v>43.8</v>
      </c>
      <c r="I20" s="30">
        <v>42.8</v>
      </c>
      <c r="J20" s="30">
        <v>42.1</v>
      </c>
      <c r="K20" s="30">
        <v>43.1</v>
      </c>
      <c r="L20" s="30">
        <v>47.1</v>
      </c>
      <c r="M20" s="30">
        <v>44.3</v>
      </c>
      <c r="N20" s="30">
        <v>45.8</v>
      </c>
      <c r="O20" s="30">
        <v>45.3</v>
      </c>
      <c r="P20" s="30">
        <v>46.4</v>
      </c>
      <c r="Q20" s="73">
        <v>49.260000000000005</v>
      </c>
      <c r="R20" s="73">
        <v>47.46</v>
      </c>
      <c r="S20" s="73">
        <v>47.019999999999996</v>
      </c>
      <c r="T20" s="73">
        <v>47.092500000000001</v>
      </c>
      <c r="U20" s="73">
        <v>45.61</v>
      </c>
      <c r="V20" s="73">
        <v>43.342499999999994</v>
      </c>
      <c r="W20" s="73">
        <v>42.54</v>
      </c>
      <c r="X20" s="73">
        <v>40.957500000000003</v>
      </c>
      <c r="Y20" s="73">
        <v>38.950000000000003</v>
      </c>
      <c r="Z20" s="99">
        <v>32.829383</v>
      </c>
      <c r="AA20" s="99">
        <v>34.268831999999996</v>
      </c>
      <c r="AB20" s="73">
        <v>44.539430000000003</v>
      </c>
      <c r="AC20" s="73">
        <v>43.39537</v>
      </c>
      <c r="AD20" s="73">
        <v>41.103909999999999</v>
      </c>
      <c r="AE20" s="73">
        <v>44.333320000000001</v>
      </c>
      <c r="AF20" s="73">
        <v>43.07808</v>
      </c>
      <c r="AG20" s="73">
        <v>41.066569999999999</v>
      </c>
      <c r="AH20" s="73">
        <v>39.738810000000001</v>
      </c>
      <c r="AI20" s="73">
        <v>40.540579999999999</v>
      </c>
      <c r="AJ20" s="73">
        <v>36.947790000000005</v>
      </c>
      <c r="AK20" s="73">
        <v>32.829383</v>
      </c>
      <c r="AL20" s="73">
        <v>34.268831999999996</v>
      </c>
      <c r="AM20" s="73">
        <v>37.112296000000001</v>
      </c>
    </row>
    <row r="21" spans="1:39" ht="14" customHeight="1">
      <c r="A21" s="3" t="s">
        <v>711</v>
      </c>
      <c r="B21" s="3" t="s">
        <v>712</v>
      </c>
      <c r="C21" s="3">
        <v>13</v>
      </c>
      <c r="D21" s="3" t="s">
        <v>713</v>
      </c>
      <c r="E21" s="72">
        <v>24.7</v>
      </c>
      <c r="F21" s="30">
        <v>40.5</v>
      </c>
      <c r="G21" s="30">
        <v>42.4</v>
      </c>
      <c r="H21" s="30">
        <v>42</v>
      </c>
      <c r="I21" s="30">
        <v>40.700000000000003</v>
      </c>
      <c r="J21" s="30">
        <v>43.1</v>
      </c>
      <c r="K21" s="30">
        <v>46.4</v>
      </c>
      <c r="L21" s="30">
        <v>41.1</v>
      </c>
      <c r="M21" s="30">
        <v>43.3</v>
      </c>
      <c r="N21" s="30">
        <v>46.7</v>
      </c>
      <c r="O21" s="30">
        <v>45.9</v>
      </c>
      <c r="P21" s="30">
        <v>46.8</v>
      </c>
      <c r="Q21" s="73">
        <v>50.99</v>
      </c>
      <c r="R21" s="73">
        <v>48.8125</v>
      </c>
      <c r="S21" s="73">
        <v>45.739999999999995</v>
      </c>
      <c r="T21" s="73">
        <v>46.4375</v>
      </c>
      <c r="U21" s="73">
        <v>44.856666666666662</v>
      </c>
      <c r="V21" s="73">
        <v>43.327500000000001</v>
      </c>
      <c r="W21" s="73">
        <v>40.534999999999997</v>
      </c>
      <c r="X21" s="73">
        <v>39.702499999999993</v>
      </c>
      <c r="Y21" s="73">
        <v>38.1875</v>
      </c>
      <c r="Z21" s="99">
        <v>37.806815</v>
      </c>
      <c r="AA21" s="99">
        <v>38.090893999999999</v>
      </c>
      <c r="AB21" s="73">
        <v>46.771320000000003</v>
      </c>
      <c r="AC21" s="73">
        <v>46.360289999999999</v>
      </c>
      <c r="AD21" s="73">
        <v>45.072929999999999</v>
      </c>
      <c r="AE21" s="73">
        <v>42.925289999999997</v>
      </c>
      <c r="AF21" s="73">
        <v>41.735390000000002</v>
      </c>
      <c r="AG21" s="73">
        <v>39.865580000000001</v>
      </c>
      <c r="AH21" s="73">
        <v>40.096449999999997</v>
      </c>
      <c r="AI21" s="73">
        <v>39.953630000000004</v>
      </c>
      <c r="AJ21" s="73">
        <v>38.7639</v>
      </c>
      <c r="AK21" s="73">
        <v>37.806815</v>
      </c>
      <c r="AL21" s="73">
        <v>38.090893999999999</v>
      </c>
      <c r="AM21" s="73">
        <v>38.710692999999999</v>
      </c>
    </row>
    <row r="22" spans="1:39" ht="14" customHeight="1">
      <c r="A22" s="3" t="s">
        <v>714</v>
      </c>
      <c r="B22" s="3" t="s">
        <v>530</v>
      </c>
      <c r="C22" s="3">
        <v>14</v>
      </c>
      <c r="D22" s="3" t="s">
        <v>641</v>
      </c>
      <c r="E22" s="72">
        <v>21.3</v>
      </c>
      <c r="F22" s="30">
        <v>45.7</v>
      </c>
      <c r="G22" s="30">
        <v>43.1</v>
      </c>
      <c r="H22" s="30">
        <v>43.6</v>
      </c>
      <c r="I22" s="30">
        <v>42.9</v>
      </c>
      <c r="J22" s="30">
        <v>46.1</v>
      </c>
      <c r="K22" s="30">
        <v>47.1</v>
      </c>
      <c r="L22" s="30">
        <v>48.7</v>
      </c>
      <c r="M22" s="30">
        <v>47.4</v>
      </c>
      <c r="N22" s="30">
        <v>50.6</v>
      </c>
      <c r="O22" s="30">
        <v>49.6</v>
      </c>
      <c r="P22" s="30">
        <v>49.8</v>
      </c>
      <c r="Q22" s="73">
        <v>53.045000000000009</v>
      </c>
      <c r="R22" s="73">
        <v>50.372499999999995</v>
      </c>
      <c r="S22" s="73">
        <v>49.347499999999997</v>
      </c>
      <c r="T22" s="73">
        <v>46.965000000000003</v>
      </c>
      <c r="U22" s="73">
        <v>47.56</v>
      </c>
      <c r="V22" s="73">
        <v>44.080000000000005</v>
      </c>
      <c r="W22" s="73">
        <v>42.862500000000004</v>
      </c>
      <c r="X22" s="73">
        <v>42.870000000000005</v>
      </c>
      <c r="Y22" s="73">
        <v>42.555</v>
      </c>
      <c r="Z22" s="99">
        <v>40.371808000000001</v>
      </c>
      <c r="AA22" s="99">
        <v>41.478005000000003</v>
      </c>
      <c r="AB22" s="73">
        <v>57.186519999999994</v>
      </c>
      <c r="AC22" s="73">
        <v>46.705069999999999</v>
      </c>
      <c r="AD22" s="73">
        <v>47.733490000000003</v>
      </c>
      <c r="AE22" s="73">
        <v>46.483780000000003</v>
      </c>
      <c r="AF22" s="73">
        <v>47.110239999999997</v>
      </c>
      <c r="AG22" s="73">
        <v>45.501979999999996</v>
      </c>
      <c r="AH22" s="73">
        <v>46.065240000000003</v>
      </c>
      <c r="AI22" s="73">
        <v>46.338749999999997</v>
      </c>
      <c r="AJ22" s="73">
        <v>44.575520000000004</v>
      </c>
      <c r="AK22" s="73">
        <v>40.371808000000001</v>
      </c>
      <c r="AL22" s="73">
        <v>41.478005000000003</v>
      </c>
      <c r="AM22" s="73">
        <v>40.992137999999997</v>
      </c>
    </row>
    <row r="23" spans="1:39" ht="14" customHeight="1">
      <c r="A23" s="3" t="s">
        <v>620</v>
      </c>
      <c r="B23" s="3" t="s">
        <v>621</v>
      </c>
      <c r="C23" s="3">
        <v>15</v>
      </c>
      <c r="D23" s="3" t="s">
        <v>541</v>
      </c>
      <c r="E23" s="72">
        <v>24.3</v>
      </c>
      <c r="F23" s="30">
        <v>44</v>
      </c>
      <c r="G23" s="30">
        <v>42.1</v>
      </c>
      <c r="H23" s="30">
        <v>43.3</v>
      </c>
      <c r="I23" s="30">
        <v>45.9</v>
      </c>
      <c r="J23" s="30">
        <v>47.7</v>
      </c>
      <c r="K23" s="30">
        <v>45.3</v>
      </c>
      <c r="L23" s="30">
        <v>47.1</v>
      </c>
      <c r="M23" s="30">
        <v>46.1</v>
      </c>
      <c r="N23" s="30">
        <v>45.4</v>
      </c>
      <c r="O23" s="30">
        <v>42.9</v>
      </c>
      <c r="P23" s="30">
        <v>47.6</v>
      </c>
      <c r="Q23" s="73">
        <v>45.01</v>
      </c>
      <c r="R23" s="73">
        <v>44.68</v>
      </c>
      <c r="S23" s="73">
        <v>44.115000000000002</v>
      </c>
      <c r="T23" s="73">
        <v>45.935000000000002</v>
      </c>
      <c r="U23" s="73">
        <v>43.073333333333338</v>
      </c>
      <c r="V23" s="73">
        <v>40.825000000000003</v>
      </c>
      <c r="W23" s="73">
        <v>40.585000000000008</v>
      </c>
      <c r="X23" s="73">
        <v>40.72</v>
      </c>
      <c r="Y23" s="73">
        <v>40.170000000000009</v>
      </c>
      <c r="Z23" s="99">
        <v>40.652253999999999</v>
      </c>
      <c r="AA23" s="99">
        <v>39.278444999999998</v>
      </c>
      <c r="AB23" s="73">
        <v>47.73827</v>
      </c>
      <c r="AC23" s="73">
        <v>47.520879999999998</v>
      </c>
      <c r="AD23" s="73">
        <v>45.227270000000004</v>
      </c>
      <c r="AE23" s="73">
        <v>44.338970000000003</v>
      </c>
      <c r="AF23" s="73">
        <v>42.755549999999999</v>
      </c>
      <c r="AG23" s="73">
        <v>43.316009999999999</v>
      </c>
      <c r="AH23" s="73">
        <v>42.461510000000004</v>
      </c>
      <c r="AI23" s="73">
        <v>45.89228</v>
      </c>
      <c r="AJ23" s="73">
        <v>39.746789999999997</v>
      </c>
      <c r="AK23" s="73">
        <v>40.652253999999999</v>
      </c>
      <c r="AL23" s="73">
        <v>39.278444999999998</v>
      </c>
      <c r="AM23" s="73">
        <v>38.374186000000002</v>
      </c>
    </row>
    <row r="24" spans="1:39" ht="14" customHeight="1">
      <c r="A24" s="3" t="s">
        <v>622</v>
      </c>
      <c r="B24" s="3" t="s">
        <v>925</v>
      </c>
      <c r="C24" s="3">
        <v>16</v>
      </c>
      <c r="D24" s="3" t="s">
        <v>541</v>
      </c>
      <c r="E24" s="72"/>
      <c r="F24" s="31"/>
      <c r="G24" s="31"/>
      <c r="H24" s="31"/>
      <c r="I24" s="31"/>
      <c r="J24" s="31"/>
      <c r="K24" s="31"/>
      <c r="L24" s="31"/>
      <c r="M24" s="31"/>
      <c r="N24" s="31"/>
      <c r="O24" s="31"/>
      <c r="P24" s="30">
        <v>50.6</v>
      </c>
      <c r="Q24" s="73"/>
      <c r="R24" s="73"/>
      <c r="S24" s="73"/>
      <c r="T24" s="73">
        <v>48.545000000000002</v>
      </c>
      <c r="U24" s="73">
        <v>44.463333333333324</v>
      </c>
      <c r="V24" s="73">
        <v>47.89</v>
      </c>
      <c r="W24" s="73">
        <v>44.604999999999997</v>
      </c>
      <c r="X24" s="73">
        <v>43.864999999999995</v>
      </c>
      <c r="Y24" s="73">
        <v>42.77</v>
      </c>
      <c r="Z24" s="99">
        <v>45.450181000000001</v>
      </c>
      <c r="AA24" s="99">
        <v>42.815526999999996</v>
      </c>
      <c r="AB24" s="73"/>
      <c r="AC24" s="73"/>
      <c r="AD24" s="73"/>
      <c r="AE24" s="73">
        <v>44.965379999999996</v>
      </c>
      <c r="AF24" s="73">
        <v>47.812809999999999</v>
      </c>
      <c r="AG24" s="73">
        <v>50.194819999999993</v>
      </c>
      <c r="AH24" s="73">
        <v>46.327739999999999</v>
      </c>
      <c r="AI24" s="73">
        <v>43.58023</v>
      </c>
      <c r="AJ24" s="73">
        <v>45.523200000000003</v>
      </c>
      <c r="AK24" s="73">
        <v>45.450181000000001</v>
      </c>
      <c r="AL24" s="73">
        <v>42.815526999999996</v>
      </c>
      <c r="AM24" s="73">
        <v>40.280703000000003</v>
      </c>
    </row>
    <row r="25" spans="1:39" ht="14" customHeight="1">
      <c r="A25" s="3" t="s">
        <v>926</v>
      </c>
      <c r="B25" s="3" t="s">
        <v>927</v>
      </c>
      <c r="C25" s="3">
        <v>17</v>
      </c>
      <c r="D25" s="3" t="s">
        <v>664</v>
      </c>
      <c r="E25" s="72">
        <v>18.2</v>
      </c>
      <c r="F25" s="30">
        <v>40.9</v>
      </c>
      <c r="G25" s="30">
        <v>40.200000000000003</v>
      </c>
      <c r="H25" s="30">
        <v>41</v>
      </c>
      <c r="I25" s="30">
        <v>42.3</v>
      </c>
      <c r="J25" s="30">
        <v>44.8</v>
      </c>
      <c r="K25" s="30">
        <v>44.4</v>
      </c>
      <c r="L25" s="30">
        <v>46.4</v>
      </c>
      <c r="M25" s="30">
        <v>46.2</v>
      </c>
      <c r="N25" s="30">
        <v>47.6</v>
      </c>
      <c r="O25" s="30">
        <v>51.4</v>
      </c>
      <c r="P25" s="30">
        <v>50.2</v>
      </c>
      <c r="Q25" s="73">
        <v>59.094999999999999</v>
      </c>
      <c r="R25" s="73">
        <v>56.580000000000005</v>
      </c>
      <c r="S25" s="73">
        <v>54.132500000000007</v>
      </c>
      <c r="T25" s="73">
        <v>50.465000000000003</v>
      </c>
      <c r="U25" s="73">
        <v>49.113333333333323</v>
      </c>
      <c r="V25" s="73">
        <v>47.5</v>
      </c>
      <c r="W25" s="73">
        <v>47.244999999999997</v>
      </c>
      <c r="X25" s="73">
        <v>47.74499999999999</v>
      </c>
      <c r="Y25" s="73">
        <v>45.04</v>
      </c>
      <c r="Z25" s="99">
        <v>41.736494999999998</v>
      </c>
      <c r="AA25" s="99">
        <v>44.125715</v>
      </c>
      <c r="AB25" s="73">
        <v>54.232820000000004</v>
      </c>
      <c r="AC25" s="73">
        <v>56.022349999999996</v>
      </c>
      <c r="AD25" s="73">
        <v>45.05939</v>
      </c>
      <c r="AE25" s="73">
        <v>46.324330000000003</v>
      </c>
      <c r="AF25" s="73">
        <v>46.85633</v>
      </c>
      <c r="AG25" s="73">
        <v>43.791919999999998</v>
      </c>
      <c r="AH25" s="73">
        <v>41.224650000000004</v>
      </c>
      <c r="AI25" s="73">
        <v>42.813339999999997</v>
      </c>
      <c r="AJ25" s="73">
        <v>43.979390000000002</v>
      </c>
      <c r="AK25" s="73">
        <v>41.736494999999998</v>
      </c>
      <c r="AL25" s="73">
        <v>44.125715</v>
      </c>
      <c r="AM25" s="73">
        <v>44.852998999999997</v>
      </c>
    </row>
    <row r="26" spans="1:39" ht="14" customHeight="1">
      <c r="A26" s="3" t="s">
        <v>928</v>
      </c>
      <c r="B26" s="3" t="s">
        <v>929</v>
      </c>
      <c r="C26" s="3">
        <v>18</v>
      </c>
      <c r="D26" s="3" t="s">
        <v>713</v>
      </c>
      <c r="E26" s="72">
        <v>13.2</v>
      </c>
      <c r="F26" s="30">
        <v>40.4</v>
      </c>
      <c r="G26" s="30">
        <v>38.799999999999997</v>
      </c>
      <c r="H26" s="30">
        <v>39</v>
      </c>
      <c r="I26" s="30">
        <v>42.3</v>
      </c>
      <c r="J26" s="30">
        <v>44</v>
      </c>
      <c r="K26" s="30">
        <v>45.2</v>
      </c>
      <c r="L26" s="30">
        <v>44.9</v>
      </c>
      <c r="M26" s="30">
        <v>44.8</v>
      </c>
      <c r="N26" s="30">
        <v>46.8</v>
      </c>
      <c r="O26" s="30">
        <v>46.1</v>
      </c>
      <c r="P26" s="30">
        <v>44.2</v>
      </c>
      <c r="Q26" s="73">
        <v>56.45</v>
      </c>
      <c r="R26" s="73">
        <v>52.442500000000003</v>
      </c>
      <c r="S26" s="73">
        <v>50.414999999999999</v>
      </c>
      <c r="T26" s="73">
        <v>50.197500000000005</v>
      </c>
      <c r="U26" s="73">
        <v>46.489999999999995</v>
      </c>
      <c r="V26" s="73">
        <v>43.47</v>
      </c>
      <c r="W26" s="73">
        <v>48.59</v>
      </c>
      <c r="X26" s="73">
        <v>42.667499999999997</v>
      </c>
      <c r="Y26" s="73">
        <v>42.475000000000001</v>
      </c>
      <c r="Z26" s="99">
        <v>35.387011999999999</v>
      </c>
      <c r="AA26" s="99">
        <v>39.93085</v>
      </c>
      <c r="AB26" s="73">
        <v>48.381219999999999</v>
      </c>
      <c r="AC26" s="73">
        <v>48.457319999999996</v>
      </c>
      <c r="AD26" s="73">
        <v>45.220149999999997</v>
      </c>
      <c r="AE26" s="73">
        <v>51.584710000000001</v>
      </c>
      <c r="AF26" s="73">
        <v>42.874009999999998</v>
      </c>
      <c r="AG26" s="73">
        <v>43.010690000000004</v>
      </c>
      <c r="AH26" s="73">
        <v>44.308819999999997</v>
      </c>
      <c r="AI26" s="73">
        <v>43.3645</v>
      </c>
      <c r="AJ26" s="73">
        <v>38.491999999999997</v>
      </c>
      <c r="AK26" s="73">
        <v>35.387011999999999</v>
      </c>
      <c r="AL26" s="73">
        <v>39.93085</v>
      </c>
      <c r="AM26" s="73">
        <v>41.085821000000003</v>
      </c>
    </row>
    <row r="27" spans="1:39" ht="14" customHeight="1">
      <c r="A27" s="3" t="s">
        <v>841</v>
      </c>
      <c r="B27" s="3" t="s">
        <v>659</v>
      </c>
      <c r="C27" s="3">
        <v>19</v>
      </c>
      <c r="D27" s="3" t="s">
        <v>713</v>
      </c>
      <c r="E27" s="72">
        <v>11.1</v>
      </c>
      <c r="F27" s="30">
        <v>37.9</v>
      </c>
      <c r="G27" s="30">
        <v>43.1</v>
      </c>
      <c r="H27" s="30">
        <v>41.7</v>
      </c>
      <c r="I27" s="30">
        <v>42.4</v>
      </c>
      <c r="J27" s="30">
        <v>42.7</v>
      </c>
      <c r="K27" s="30">
        <v>44.8</v>
      </c>
      <c r="L27" s="30">
        <v>43.4</v>
      </c>
      <c r="M27" s="30">
        <v>42.6</v>
      </c>
      <c r="N27" s="30">
        <v>56.3</v>
      </c>
      <c r="O27" s="30">
        <v>44.2</v>
      </c>
      <c r="P27" s="30">
        <v>44.8</v>
      </c>
      <c r="Q27" s="73">
        <v>39.49</v>
      </c>
      <c r="R27" s="73">
        <v>42.292499999999997</v>
      </c>
      <c r="S27" s="73">
        <v>41.642500000000005</v>
      </c>
      <c r="T27" s="73">
        <v>42.230000000000004</v>
      </c>
      <c r="U27" s="73">
        <v>41.550000000000004</v>
      </c>
      <c r="V27" s="73">
        <v>40.917500000000004</v>
      </c>
      <c r="W27" s="73">
        <v>40.8125</v>
      </c>
      <c r="X27" s="73">
        <v>39.885000000000005</v>
      </c>
      <c r="Y27" s="73">
        <v>37.302500000000002</v>
      </c>
      <c r="Z27" s="99">
        <v>38.188535000000002</v>
      </c>
      <c r="AA27" s="99">
        <v>35.349285999999999</v>
      </c>
      <c r="AB27" s="73">
        <v>43.002099999999999</v>
      </c>
      <c r="AC27" s="73">
        <v>41.879159999999999</v>
      </c>
      <c r="AD27" s="73">
        <v>42.654870000000003</v>
      </c>
      <c r="AE27" s="73">
        <v>39.648260000000001</v>
      </c>
      <c r="AF27" s="73">
        <v>40.915140000000001</v>
      </c>
      <c r="AG27" s="73">
        <v>40.609790000000004</v>
      </c>
      <c r="AH27" s="73">
        <v>42.204250000000002</v>
      </c>
      <c r="AI27" s="73">
        <v>42.874719999999996</v>
      </c>
      <c r="AJ27" s="73">
        <v>39.51981</v>
      </c>
      <c r="AK27" s="73">
        <v>38.188535000000002</v>
      </c>
      <c r="AL27" s="73">
        <v>35.349285999999999</v>
      </c>
      <c r="AM27" s="73">
        <v>38.486424</v>
      </c>
    </row>
    <row r="28" spans="1:39" ht="14" customHeight="1">
      <c r="A28" s="3" t="s">
        <v>660</v>
      </c>
      <c r="B28" s="3" t="s">
        <v>661</v>
      </c>
      <c r="C28" s="3">
        <v>20</v>
      </c>
      <c r="D28" s="3" t="s">
        <v>541</v>
      </c>
      <c r="E28" s="72">
        <v>13.6</v>
      </c>
      <c r="F28" s="30">
        <v>37.6</v>
      </c>
      <c r="G28" s="30">
        <v>37</v>
      </c>
      <c r="H28" s="30">
        <v>36.799999999999997</v>
      </c>
      <c r="I28" s="30">
        <v>40.4</v>
      </c>
      <c r="J28" s="30">
        <v>39</v>
      </c>
      <c r="K28" s="30">
        <v>40.299999999999997</v>
      </c>
      <c r="L28" s="30">
        <v>40.200000000000003</v>
      </c>
      <c r="M28" s="30">
        <v>38.799999999999997</v>
      </c>
      <c r="N28" s="30">
        <v>39.700000000000003</v>
      </c>
      <c r="O28" s="30">
        <v>38.700000000000003</v>
      </c>
      <c r="P28" s="30">
        <v>40.700000000000003</v>
      </c>
      <c r="Q28" s="73">
        <v>44.320000000000007</v>
      </c>
      <c r="R28" s="73">
        <v>39.877499999999998</v>
      </c>
      <c r="S28" s="73">
        <v>38.909999999999997</v>
      </c>
      <c r="T28" s="73">
        <v>39.222499999999997</v>
      </c>
      <c r="U28" s="73">
        <v>37.676666666666669</v>
      </c>
      <c r="V28" s="73">
        <v>40.505000000000003</v>
      </c>
      <c r="W28" s="73">
        <v>40.225000000000001</v>
      </c>
      <c r="X28" s="73">
        <v>39.542500000000004</v>
      </c>
      <c r="Y28" s="73">
        <v>39.522500000000001</v>
      </c>
      <c r="Z28" s="99">
        <v>36.916598999999998</v>
      </c>
      <c r="AA28" s="99">
        <v>36.792301999999999</v>
      </c>
      <c r="AB28" s="73">
        <v>49.444880000000005</v>
      </c>
      <c r="AC28" s="73">
        <v>43.489070000000005</v>
      </c>
      <c r="AD28" s="73">
        <v>39.084150000000001</v>
      </c>
      <c r="AE28" s="73">
        <v>40.464210000000001</v>
      </c>
      <c r="AF28" s="73">
        <v>41.293669999999999</v>
      </c>
      <c r="AG28" s="73">
        <v>42.622900000000001</v>
      </c>
      <c r="AH28" s="73">
        <v>39.404969999999999</v>
      </c>
      <c r="AI28" s="73">
        <v>39.589700000000001</v>
      </c>
      <c r="AJ28" s="73">
        <v>36.934609999999999</v>
      </c>
      <c r="AK28" s="73">
        <v>36.916598999999998</v>
      </c>
      <c r="AL28" s="73">
        <v>36.792301999999999</v>
      </c>
      <c r="AM28" s="73">
        <v>36.978301000000002</v>
      </c>
    </row>
    <row r="29" spans="1:39" ht="14" customHeight="1">
      <c r="A29" s="3" t="s">
        <v>80</v>
      </c>
      <c r="B29" s="3" t="s">
        <v>747</v>
      </c>
      <c r="C29" s="3">
        <v>21</v>
      </c>
      <c r="D29" s="3" t="s">
        <v>759</v>
      </c>
      <c r="E29" s="72">
        <v>19</v>
      </c>
      <c r="F29" s="30">
        <v>40.9</v>
      </c>
      <c r="G29" s="30">
        <v>39.299999999999997</v>
      </c>
      <c r="H29" s="30">
        <v>38.9</v>
      </c>
      <c r="I29" s="30">
        <v>40</v>
      </c>
      <c r="J29" s="30">
        <v>40.200000000000003</v>
      </c>
      <c r="K29" s="30">
        <v>40.4</v>
      </c>
      <c r="L29" s="30">
        <v>43.9</v>
      </c>
      <c r="M29" s="30">
        <v>39.6</v>
      </c>
      <c r="N29" s="30">
        <v>43.7</v>
      </c>
      <c r="O29" s="30">
        <v>45.8</v>
      </c>
      <c r="P29" s="30">
        <v>45.5</v>
      </c>
      <c r="Q29" s="73">
        <v>50.29059829059829</v>
      </c>
      <c r="R29" s="73">
        <v>47.16657264957265</v>
      </c>
      <c r="S29" s="73">
        <v>43.927760683760695</v>
      </c>
      <c r="T29" s="73">
        <v>42.476478632478631</v>
      </c>
      <c r="U29" s="73">
        <v>41.115299145299147</v>
      </c>
      <c r="V29" s="73">
        <v>40.902491452991455</v>
      </c>
      <c r="W29" s="73">
        <v>40.466072649572652</v>
      </c>
      <c r="X29" s="73">
        <v>40.453811965811965</v>
      </c>
      <c r="Y29" s="73">
        <v>38.555153846153843</v>
      </c>
      <c r="Z29" s="99">
        <v>39.439817999999995</v>
      </c>
      <c r="AA29" s="99">
        <v>37.426466000000005</v>
      </c>
      <c r="AB29" s="73">
        <v>48.988430000000001</v>
      </c>
      <c r="AC29" s="73">
        <v>44.890029999999996</v>
      </c>
      <c r="AD29" s="73">
        <v>45.448970000000003</v>
      </c>
      <c r="AE29" s="73">
        <v>43.632929999999995</v>
      </c>
      <c r="AF29" s="73">
        <v>42.350389999999997</v>
      </c>
      <c r="AG29" s="73">
        <v>42.418479999999995</v>
      </c>
      <c r="AH29" s="73">
        <v>43.503</v>
      </c>
      <c r="AI29" s="73">
        <v>42.280319999999996</v>
      </c>
      <c r="AJ29" s="73">
        <v>40.744900000000001</v>
      </c>
      <c r="AK29" s="73">
        <v>39.439817999999995</v>
      </c>
      <c r="AL29" s="73">
        <v>37.426466000000005</v>
      </c>
      <c r="AM29" s="73">
        <v>37.30939</v>
      </c>
    </row>
    <row r="30" spans="1:39" ht="14" customHeight="1">
      <c r="A30" s="3" t="s">
        <v>721</v>
      </c>
      <c r="B30" s="3" t="s">
        <v>722</v>
      </c>
      <c r="C30" s="3">
        <v>22</v>
      </c>
      <c r="D30" s="3" t="s">
        <v>664</v>
      </c>
      <c r="E30" s="72">
        <v>19.399999999999999</v>
      </c>
      <c r="F30" s="30">
        <v>43.1</v>
      </c>
      <c r="G30" s="30">
        <v>41.6</v>
      </c>
      <c r="H30" s="30">
        <v>43.1</v>
      </c>
      <c r="I30" s="30">
        <v>42.1</v>
      </c>
      <c r="J30" s="30">
        <v>41.5</v>
      </c>
      <c r="K30" s="30">
        <v>40.5</v>
      </c>
      <c r="L30" s="30">
        <v>43.2</v>
      </c>
      <c r="M30" s="30">
        <v>42.1</v>
      </c>
      <c r="N30" s="30">
        <v>45.9</v>
      </c>
      <c r="O30" s="30">
        <v>47.1</v>
      </c>
      <c r="P30" s="30">
        <v>46.3</v>
      </c>
      <c r="Q30" s="73">
        <v>51.225000000000001</v>
      </c>
      <c r="R30" s="73">
        <v>52.052499999999988</v>
      </c>
      <c r="S30" s="73">
        <v>48.122500000000002</v>
      </c>
      <c r="T30" s="73">
        <v>47.34</v>
      </c>
      <c r="U30" s="73">
        <v>45.043333333333344</v>
      </c>
      <c r="V30" s="73">
        <v>41.782499999999999</v>
      </c>
      <c r="W30" s="73">
        <v>39.835000000000001</v>
      </c>
      <c r="X30" s="73">
        <v>37.627500000000005</v>
      </c>
      <c r="Y30" s="73">
        <v>38.342500000000001</v>
      </c>
      <c r="Z30" s="99">
        <v>39.651212000000001</v>
      </c>
      <c r="AA30" s="99">
        <v>38.764029999999998</v>
      </c>
      <c r="AB30" s="73">
        <v>47.887140000000002</v>
      </c>
      <c r="AC30" s="73">
        <v>51.535200000000003</v>
      </c>
      <c r="AD30" s="73">
        <v>44.0961</v>
      </c>
      <c r="AE30" s="73">
        <v>46.440740000000005</v>
      </c>
      <c r="AF30" s="73">
        <v>44.046639999999996</v>
      </c>
      <c r="AG30" s="73">
        <v>43.918279999999996</v>
      </c>
      <c r="AH30" s="73">
        <v>42.821510000000004</v>
      </c>
      <c r="AI30" s="73">
        <v>39.895800000000001</v>
      </c>
      <c r="AJ30" s="73">
        <v>37.635829999999999</v>
      </c>
      <c r="AK30" s="73">
        <v>39.651212000000001</v>
      </c>
      <c r="AL30" s="73">
        <v>38.764029999999998</v>
      </c>
      <c r="AM30" s="73">
        <v>41.551139999999997</v>
      </c>
    </row>
    <row r="31" spans="1:39" ht="14" customHeight="1">
      <c r="A31" s="3" t="s">
        <v>723</v>
      </c>
      <c r="B31" s="3" t="s">
        <v>724</v>
      </c>
      <c r="C31" s="3">
        <v>23</v>
      </c>
      <c r="D31" s="3" t="s">
        <v>541</v>
      </c>
      <c r="E31" s="72">
        <v>15.2</v>
      </c>
      <c r="F31" s="30">
        <v>37.700000000000003</v>
      </c>
      <c r="G31" s="30">
        <v>38.1</v>
      </c>
      <c r="H31" s="30">
        <v>38.200000000000003</v>
      </c>
      <c r="I31" s="30">
        <v>39.9</v>
      </c>
      <c r="J31" s="30">
        <v>41.2</v>
      </c>
      <c r="K31" s="30">
        <v>40.6</v>
      </c>
      <c r="L31" s="30">
        <v>40.9</v>
      </c>
      <c r="M31" s="30">
        <v>40.700000000000003</v>
      </c>
      <c r="N31" s="30">
        <v>42.8</v>
      </c>
      <c r="O31" s="30">
        <v>41.7</v>
      </c>
      <c r="P31" s="30">
        <v>47</v>
      </c>
      <c r="Q31" s="73">
        <v>42.564999999999998</v>
      </c>
      <c r="R31" s="73">
        <v>44.3125</v>
      </c>
      <c r="S31" s="73">
        <v>43.98</v>
      </c>
      <c r="T31" s="73">
        <v>41.097499999999997</v>
      </c>
      <c r="U31" s="73">
        <v>41.016666666666666</v>
      </c>
      <c r="V31" s="73">
        <v>37.769999999999996</v>
      </c>
      <c r="W31" s="73">
        <v>37.285000000000004</v>
      </c>
      <c r="X31" s="73">
        <v>35</v>
      </c>
      <c r="Y31" s="73">
        <v>32.057499999999997</v>
      </c>
      <c r="Z31" s="99">
        <v>35.691443</v>
      </c>
      <c r="AA31" s="99">
        <v>36.297618999999997</v>
      </c>
      <c r="AB31" s="73">
        <v>40.996830000000003</v>
      </c>
      <c r="AC31" s="73">
        <v>46.316049999999997</v>
      </c>
      <c r="AD31" s="73">
        <v>44.226529999999997</v>
      </c>
      <c r="AE31" s="73">
        <v>42.589890000000004</v>
      </c>
      <c r="AF31" s="73">
        <v>39.475259999999999</v>
      </c>
      <c r="AG31" s="73">
        <v>38.524630000000002</v>
      </c>
      <c r="AH31" s="73">
        <v>41.51379</v>
      </c>
      <c r="AI31" s="73">
        <v>38.210749999999997</v>
      </c>
      <c r="AJ31" s="73">
        <v>37.51032</v>
      </c>
      <c r="AK31" s="73">
        <v>35.691443</v>
      </c>
      <c r="AL31" s="73">
        <v>36.297618999999997</v>
      </c>
      <c r="AM31" s="73">
        <v>38.624063</v>
      </c>
    </row>
    <row r="32" spans="1:39" ht="14" customHeight="1">
      <c r="A32" s="3" t="s">
        <v>725</v>
      </c>
      <c r="B32" s="3" t="s">
        <v>726</v>
      </c>
      <c r="C32" s="3">
        <v>24</v>
      </c>
      <c r="D32" s="3" t="s">
        <v>664</v>
      </c>
      <c r="E32" s="72">
        <v>17.2</v>
      </c>
      <c r="F32" s="30">
        <v>43.6</v>
      </c>
      <c r="G32" s="30">
        <v>45.4</v>
      </c>
      <c r="H32" s="30">
        <v>46.6</v>
      </c>
      <c r="I32" s="30">
        <v>47</v>
      </c>
      <c r="J32" s="30">
        <v>42.3</v>
      </c>
      <c r="K32" s="30">
        <v>44.4</v>
      </c>
      <c r="L32" s="30">
        <v>45.7</v>
      </c>
      <c r="M32" s="30">
        <v>43.5</v>
      </c>
      <c r="N32" s="30">
        <v>44.4</v>
      </c>
      <c r="O32" s="30">
        <v>44.7</v>
      </c>
      <c r="P32" s="30">
        <v>47.9</v>
      </c>
      <c r="Q32" s="73">
        <v>52.675000000000004</v>
      </c>
      <c r="R32" s="73">
        <v>52.204999999999998</v>
      </c>
      <c r="S32" s="73">
        <v>50.834999999999994</v>
      </c>
      <c r="T32" s="73">
        <v>53.422499999999992</v>
      </c>
      <c r="U32" s="73">
        <v>54.126666666666665</v>
      </c>
      <c r="V32" s="73">
        <v>48.77</v>
      </c>
      <c r="W32" s="73">
        <v>47.774999999999999</v>
      </c>
      <c r="X32" s="73">
        <v>45.28</v>
      </c>
      <c r="Y32" s="73">
        <v>42.512500000000003</v>
      </c>
      <c r="Z32" s="99">
        <v>39.337069</v>
      </c>
      <c r="AA32" s="99">
        <v>39.009192999999996</v>
      </c>
      <c r="AB32" s="73">
        <v>49.78436</v>
      </c>
      <c r="AC32" s="73">
        <v>46.974299999999999</v>
      </c>
      <c r="AD32" s="73">
        <v>46.548760000000001</v>
      </c>
      <c r="AE32" s="73">
        <v>67.59984</v>
      </c>
      <c r="AF32" s="73">
        <v>51.345079999999996</v>
      </c>
      <c r="AG32" s="73">
        <v>43.912889999999997</v>
      </c>
      <c r="AH32" s="73">
        <v>45.601950000000002</v>
      </c>
      <c r="AI32" s="73">
        <v>44.899070000000002</v>
      </c>
      <c r="AJ32" s="73">
        <v>39.768129999999999</v>
      </c>
      <c r="AK32" s="73">
        <v>39.337069</v>
      </c>
      <c r="AL32" s="73">
        <v>39.009192999999996</v>
      </c>
      <c r="AM32" s="73">
        <v>39.087507000000002</v>
      </c>
    </row>
    <row r="33" spans="1:39" ht="14" customHeight="1">
      <c r="E33" s="11"/>
      <c r="F33" s="55"/>
      <c r="G33" s="55"/>
      <c r="H33" s="55"/>
      <c r="I33" s="55"/>
      <c r="J33" s="55"/>
      <c r="K33" s="55"/>
      <c r="L33" s="55"/>
      <c r="M33" s="55"/>
      <c r="N33" s="55"/>
      <c r="O33" s="55"/>
      <c r="P33" s="55"/>
      <c r="Q33" s="55"/>
      <c r="R33" s="55"/>
      <c r="S33" s="55"/>
      <c r="T33" s="55"/>
      <c r="U33" s="55"/>
      <c r="V33" s="55"/>
      <c r="W33" s="55"/>
      <c r="X33" s="55"/>
      <c r="Y33" s="55"/>
      <c r="Z33" s="99"/>
      <c r="AA33" s="99"/>
      <c r="AB33" s="55"/>
      <c r="AC33" s="55"/>
      <c r="AD33" s="55"/>
      <c r="AE33" s="55"/>
      <c r="AF33" s="55"/>
      <c r="AG33" s="55"/>
      <c r="AH33" s="55"/>
      <c r="AI33" s="55"/>
      <c r="AJ33" s="55"/>
      <c r="AK33" s="55"/>
      <c r="AL33" s="55"/>
      <c r="AM33" s="55"/>
    </row>
    <row r="34" spans="1:39" ht="14" customHeight="1">
      <c r="A34" s="3" t="s">
        <v>727</v>
      </c>
      <c r="E34" s="11"/>
      <c r="F34" s="55"/>
      <c r="G34" s="55"/>
      <c r="H34" s="55"/>
      <c r="I34" s="55"/>
      <c r="J34" s="55"/>
      <c r="K34" s="55"/>
      <c r="L34" s="55"/>
      <c r="M34" s="55"/>
      <c r="N34" s="55"/>
      <c r="O34" s="55"/>
      <c r="P34" s="55"/>
      <c r="Q34" s="73">
        <v>50.17485304478533</v>
      </c>
      <c r="R34" s="73">
        <v>48.183215849491894</v>
      </c>
      <c r="S34" s="73">
        <v>46.282782956291292</v>
      </c>
      <c r="T34" s="73">
        <v>45.146941064330335</v>
      </c>
      <c r="U34" s="73">
        <v>43.975022173548595</v>
      </c>
      <c r="V34" s="73">
        <v>42.154977894053701</v>
      </c>
      <c r="W34" s="73">
        <v>41.215911211162492</v>
      </c>
      <c r="X34" s="73">
        <v>40.201955260809605</v>
      </c>
      <c r="Y34" s="73">
        <v>39.316497322949623</v>
      </c>
      <c r="Z34" s="99">
        <v>41.079900000000002</v>
      </c>
      <c r="AA34" s="99">
        <v>41.299667999999997</v>
      </c>
      <c r="AB34" s="73">
        <v>52.485656999999996</v>
      </c>
      <c r="AC34" s="73">
        <v>49.408698000000001</v>
      </c>
      <c r="AD34" s="73">
        <v>47.545087000000002</v>
      </c>
      <c r="AE34" s="73">
        <v>48.546793999999998</v>
      </c>
      <c r="AF34" s="73">
        <v>47.158322000000005</v>
      </c>
      <c r="AG34" s="73">
        <v>45.012906000000001</v>
      </c>
      <c r="AH34" s="73">
        <v>44.584297999999997</v>
      </c>
      <c r="AI34" s="73">
        <v>43.885154</v>
      </c>
      <c r="AJ34" s="73">
        <v>42.962599000000004</v>
      </c>
      <c r="AK34" s="73">
        <v>41.079900000000002</v>
      </c>
      <c r="AL34" s="73">
        <v>41.299667999999997</v>
      </c>
      <c r="AM34" s="73">
        <v>41.939205000000001</v>
      </c>
    </row>
    <row r="35" spans="1:39" ht="275">
      <c r="A35" s="7" t="s">
        <v>728</v>
      </c>
      <c r="B35" s="7"/>
      <c r="C35" s="7"/>
      <c r="D35" s="7"/>
      <c r="E35" s="1" t="s">
        <v>637</v>
      </c>
      <c r="F35" s="7" t="s">
        <v>345</v>
      </c>
      <c r="G35" s="7" t="s">
        <v>345</v>
      </c>
      <c r="H35" s="7" t="s">
        <v>345</v>
      </c>
      <c r="I35" s="7" t="s">
        <v>345</v>
      </c>
      <c r="J35" s="7" t="s">
        <v>345</v>
      </c>
      <c r="K35" s="7" t="s">
        <v>345</v>
      </c>
      <c r="L35" s="7" t="s">
        <v>345</v>
      </c>
      <c r="M35" s="7" t="s">
        <v>345</v>
      </c>
      <c r="N35" s="7" t="s">
        <v>345</v>
      </c>
      <c r="O35" s="7" t="s">
        <v>345</v>
      </c>
      <c r="P35" s="7" t="s">
        <v>1929</v>
      </c>
      <c r="Q35" s="7" t="s">
        <v>2641</v>
      </c>
      <c r="R35" s="7" t="s">
        <v>2641</v>
      </c>
      <c r="S35" s="7" t="s">
        <v>2641</v>
      </c>
      <c r="T35" s="7" t="s">
        <v>2641</v>
      </c>
      <c r="U35" s="7" t="s">
        <v>2641</v>
      </c>
      <c r="V35" s="7" t="s">
        <v>2641</v>
      </c>
      <c r="W35" s="7" t="s">
        <v>2641</v>
      </c>
      <c r="X35" s="7" t="s">
        <v>2641</v>
      </c>
      <c r="Y35" s="7" t="s">
        <v>2641</v>
      </c>
      <c r="Z35" s="98" t="s">
        <v>1871</v>
      </c>
      <c r="AA35" s="98" t="s">
        <v>1925</v>
      </c>
      <c r="AB35" s="1" t="s">
        <v>3610</v>
      </c>
      <c r="AC35" s="1" t="s">
        <v>3610</v>
      </c>
      <c r="AD35" s="1" t="s">
        <v>3610</v>
      </c>
      <c r="AE35" s="1" t="s">
        <v>3610</v>
      </c>
      <c r="AF35" s="1" t="s">
        <v>3610</v>
      </c>
      <c r="AG35" s="1" t="s">
        <v>3610</v>
      </c>
      <c r="AH35" s="1" t="s">
        <v>3610</v>
      </c>
      <c r="AI35" s="1" t="s">
        <v>3610</v>
      </c>
      <c r="AJ35" s="1" t="s">
        <v>3610</v>
      </c>
      <c r="AK35" s="1" t="s">
        <v>3610</v>
      </c>
      <c r="AL35" s="1" t="s">
        <v>3610</v>
      </c>
      <c r="AM35" s="1" t="s">
        <v>3610</v>
      </c>
    </row>
    <row r="36" spans="1:39" ht="264">
      <c r="A36" s="7" t="s">
        <v>2212</v>
      </c>
      <c r="B36" s="7"/>
      <c r="C36" s="7"/>
      <c r="D36" s="7"/>
      <c r="E36" s="1"/>
      <c r="F36" s="1"/>
      <c r="G36" s="1"/>
      <c r="H36" s="1"/>
      <c r="I36" s="1"/>
      <c r="J36" s="1"/>
      <c r="K36" s="1"/>
      <c r="L36" s="1"/>
      <c r="M36" s="1"/>
      <c r="N36" s="1"/>
      <c r="O36" s="1"/>
      <c r="P36" s="1"/>
      <c r="Q36" s="189" t="s">
        <v>2642</v>
      </c>
      <c r="R36" s="189" t="s">
        <v>2643</v>
      </c>
      <c r="S36" s="189" t="s">
        <v>2644</v>
      </c>
      <c r="T36" s="189" t="s">
        <v>2645</v>
      </c>
      <c r="U36" s="189" t="s">
        <v>2646</v>
      </c>
      <c r="V36" s="189" t="s">
        <v>2647</v>
      </c>
      <c r="W36" s="189" t="s">
        <v>2648</v>
      </c>
      <c r="X36" s="189" t="s">
        <v>2649</v>
      </c>
      <c r="Y36" s="189" t="s">
        <v>2650</v>
      </c>
      <c r="Z36" s="1" t="s">
        <v>1924</v>
      </c>
      <c r="AA36" s="1" t="s">
        <v>1924</v>
      </c>
      <c r="AB36" s="1" t="s">
        <v>1924</v>
      </c>
      <c r="AC36" s="1" t="s">
        <v>1924</v>
      </c>
      <c r="AD36" s="1" t="s">
        <v>1924</v>
      </c>
      <c r="AE36" s="1" t="s">
        <v>1924</v>
      </c>
      <c r="AF36" s="1" t="s">
        <v>1924</v>
      </c>
      <c r="AG36" s="1" t="s">
        <v>1924</v>
      </c>
      <c r="AH36" s="1" t="s">
        <v>1924</v>
      </c>
      <c r="AI36" s="1" t="s">
        <v>1924</v>
      </c>
      <c r="AJ36" s="1" t="s">
        <v>1924</v>
      </c>
      <c r="AK36" s="1" t="s">
        <v>1924</v>
      </c>
      <c r="AL36" s="1" t="s">
        <v>1924</v>
      </c>
      <c r="AM36" s="1" t="s">
        <v>1924</v>
      </c>
    </row>
    <row r="37" spans="1:39" ht="409">
      <c r="A37" s="7" t="s">
        <v>2652</v>
      </c>
      <c r="Q37" s="189" t="s">
        <v>2654</v>
      </c>
      <c r="R37" s="189" t="s">
        <v>2653</v>
      </c>
      <c r="S37" s="189" t="s">
        <v>2653</v>
      </c>
      <c r="T37" s="189" t="s">
        <v>2651</v>
      </c>
      <c r="U37" s="189" t="s">
        <v>2651</v>
      </c>
      <c r="V37" s="189" t="s">
        <v>2651</v>
      </c>
      <c r="W37" s="189" t="s">
        <v>2651</v>
      </c>
      <c r="X37" s="189" t="s">
        <v>2651</v>
      </c>
      <c r="Y37" s="189" t="s">
        <v>2651</v>
      </c>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workbookViewId="0">
      <selection activeCell="T9" sqref="T9:T32"/>
    </sheetView>
  </sheetViews>
  <sheetFormatPr baseColWidth="10" defaultRowHeight="13" x14ac:dyDescent="0"/>
  <cols>
    <col min="1" max="1" width="15.140625" style="3" customWidth="1"/>
    <col min="2" max="3" width="5.7109375" style="3" customWidth="1"/>
    <col min="4" max="4" width="10.7109375" style="3"/>
    <col min="5" max="27" width="10.7109375" style="6"/>
  </cols>
  <sheetData>
    <row r="1" spans="1:27">
      <c r="O1" s="137" t="s">
        <v>2404</v>
      </c>
    </row>
    <row r="2" spans="1:27">
      <c r="A2" s="1" t="s">
        <v>614</v>
      </c>
      <c r="B2" s="1"/>
      <c r="C2" s="1"/>
      <c r="D2" s="1"/>
      <c r="E2" s="1" t="s">
        <v>849</v>
      </c>
      <c r="F2" s="1" t="s">
        <v>849</v>
      </c>
      <c r="G2" s="1" t="s">
        <v>849</v>
      </c>
      <c r="H2" s="1" t="s">
        <v>849</v>
      </c>
      <c r="I2" s="1" t="s">
        <v>849</v>
      </c>
      <c r="J2" s="1" t="s">
        <v>849</v>
      </c>
      <c r="K2" s="1" t="s">
        <v>849</v>
      </c>
      <c r="L2" s="1" t="s">
        <v>849</v>
      </c>
      <c r="M2" s="1" t="s">
        <v>849</v>
      </c>
      <c r="N2" s="1" t="s">
        <v>849</v>
      </c>
      <c r="O2" s="1" t="s">
        <v>849</v>
      </c>
      <c r="P2" s="1" t="s">
        <v>849</v>
      </c>
      <c r="Q2" s="1" t="s">
        <v>849</v>
      </c>
      <c r="R2" s="1" t="s">
        <v>849</v>
      </c>
      <c r="S2" s="1" t="s">
        <v>849</v>
      </c>
      <c r="T2" s="1" t="s">
        <v>849</v>
      </c>
      <c r="U2" s="1" t="s">
        <v>849</v>
      </c>
      <c r="V2" s="1" t="s">
        <v>849</v>
      </c>
      <c r="W2" s="1" t="s">
        <v>849</v>
      </c>
      <c r="X2" s="1" t="s">
        <v>849</v>
      </c>
      <c r="Y2" s="1" t="s">
        <v>849</v>
      </c>
      <c r="Z2" s="1" t="s">
        <v>849</v>
      </c>
      <c r="AA2" s="1" t="s">
        <v>849</v>
      </c>
    </row>
    <row r="3" spans="1:27">
      <c r="A3" s="1" t="s">
        <v>518</v>
      </c>
      <c r="B3" s="1"/>
      <c r="C3" s="1"/>
      <c r="D3" s="1"/>
      <c r="E3" s="1" t="s">
        <v>139</v>
      </c>
      <c r="F3" s="1" t="s">
        <v>139</v>
      </c>
      <c r="G3" s="1" t="s">
        <v>139</v>
      </c>
      <c r="H3" s="1" t="s">
        <v>139</v>
      </c>
      <c r="I3" s="1" t="s">
        <v>139</v>
      </c>
      <c r="J3" s="1" t="s">
        <v>139</v>
      </c>
      <c r="K3" s="1" t="s">
        <v>139</v>
      </c>
      <c r="L3" s="1" t="s">
        <v>139</v>
      </c>
      <c r="M3" s="1" t="s">
        <v>139</v>
      </c>
      <c r="N3" s="1" t="s">
        <v>139</v>
      </c>
      <c r="O3" s="1" t="s">
        <v>139</v>
      </c>
      <c r="P3" s="1" t="s">
        <v>139</v>
      </c>
      <c r="Q3" s="1" t="s">
        <v>139</v>
      </c>
      <c r="R3" s="1" t="s">
        <v>139</v>
      </c>
      <c r="S3" s="1" t="s">
        <v>139</v>
      </c>
      <c r="T3" s="1" t="s">
        <v>139</v>
      </c>
      <c r="U3" s="1" t="s">
        <v>139</v>
      </c>
      <c r="V3" s="1" t="s">
        <v>139</v>
      </c>
      <c r="W3" s="1" t="s">
        <v>139</v>
      </c>
      <c r="X3" s="1" t="s">
        <v>139</v>
      </c>
      <c r="Y3" s="1" t="s">
        <v>139</v>
      </c>
      <c r="Z3" s="1" t="s">
        <v>139</v>
      </c>
      <c r="AA3" s="1" t="s">
        <v>139</v>
      </c>
    </row>
    <row r="4" spans="1:27">
      <c r="A4" s="1" t="s">
        <v>736</v>
      </c>
      <c r="B4" s="1"/>
      <c r="C4" s="1"/>
      <c r="D4" s="1"/>
      <c r="E4" s="1" t="s">
        <v>140</v>
      </c>
      <c r="F4" s="1" t="s">
        <v>140</v>
      </c>
      <c r="G4" s="1" t="s">
        <v>140</v>
      </c>
      <c r="H4" s="1" t="s">
        <v>140</v>
      </c>
      <c r="I4" s="1" t="s">
        <v>140</v>
      </c>
      <c r="J4" s="1" t="s">
        <v>140</v>
      </c>
      <c r="K4" s="1" t="s">
        <v>140</v>
      </c>
      <c r="L4" s="1" t="s">
        <v>140</v>
      </c>
      <c r="M4" s="1" t="s">
        <v>140</v>
      </c>
      <c r="N4" s="1" t="s">
        <v>140</v>
      </c>
      <c r="O4" s="1" t="s">
        <v>140</v>
      </c>
      <c r="P4" s="1" t="s">
        <v>140</v>
      </c>
      <c r="Q4" s="1" t="s">
        <v>140</v>
      </c>
      <c r="R4" s="1" t="s">
        <v>140</v>
      </c>
      <c r="S4" s="1" t="s">
        <v>140</v>
      </c>
      <c r="T4" s="1" t="s">
        <v>140</v>
      </c>
      <c r="U4" s="1" t="s">
        <v>140</v>
      </c>
      <c r="V4" s="1" t="s">
        <v>140</v>
      </c>
      <c r="W4" s="1" t="s">
        <v>140</v>
      </c>
      <c r="X4" s="1" t="s">
        <v>140</v>
      </c>
      <c r="Y4" s="1" t="s">
        <v>140</v>
      </c>
      <c r="Z4" s="1" t="s">
        <v>140</v>
      </c>
      <c r="AA4" s="1" t="s">
        <v>140</v>
      </c>
    </row>
    <row r="5" spans="1:27">
      <c r="A5" s="1" t="s">
        <v>737</v>
      </c>
      <c r="B5" s="1"/>
      <c r="C5" s="1"/>
      <c r="D5" s="1"/>
      <c r="E5" s="1" t="s">
        <v>551</v>
      </c>
      <c r="F5" s="1" t="s">
        <v>551</v>
      </c>
      <c r="G5" s="1" t="s">
        <v>551</v>
      </c>
      <c r="H5" s="1" t="s">
        <v>551</v>
      </c>
      <c r="I5" s="1" t="s">
        <v>551</v>
      </c>
      <c r="J5" s="1" t="s">
        <v>551</v>
      </c>
      <c r="K5" s="1" t="s">
        <v>551</v>
      </c>
      <c r="L5" s="1" t="s">
        <v>551</v>
      </c>
      <c r="M5" s="1" t="s">
        <v>551</v>
      </c>
      <c r="N5" s="1" t="s">
        <v>551</v>
      </c>
      <c r="O5" s="1" t="s">
        <v>551</v>
      </c>
      <c r="P5" s="1" t="s">
        <v>1950</v>
      </c>
      <c r="Q5" s="1" t="s">
        <v>1950</v>
      </c>
      <c r="R5" s="1" t="s">
        <v>1950</v>
      </c>
      <c r="S5" s="1" t="s">
        <v>1950</v>
      </c>
      <c r="T5" s="1" t="s">
        <v>1950</v>
      </c>
      <c r="U5" s="1" t="s">
        <v>1950</v>
      </c>
      <c r="V5" s="1" t="s">
        <v>1950</v>
      </c>
      <c r="W5" s="1" t="s">
        <v>1950</v>
      </c>
      <c r="X5" s="1" t="s">
        <v>1950</v>
      </c>
      <c r="Y5" s="1" t="s">
        <v>1950</v>
      </c>
      <c r="Z5" s="1" t="s">
        <v>1950</v>
      </c>
      <c r="AA5" s="1" t="s">
        <v>1950</v>
      </c>
    </row>
    <row r="6" spans="1:27">
      <c r="A6" s="42" t="s">
        <v>560</v>
      </c>
      <c r="B6" s="42"/>
      <c r="C6" s="42"/>
      <c r="D6" s="42"/>
      <c r="E6" s="34">
        <v>1992</v>
      </c>
      <c r="F6" s="34">
        <v>1993</v>
      </c>
      <c r="G6" s="34">
        <v>1994</v>
      </c>
      <c r="H6" s="34">
        <v>1995</v>
      </c>
      <c r="I6" s="34">
        <v>1996</v>
      </c>
      <c r="J6" s="34">
        <v>1997</v>
      </c>
      <c r="K6" s="34">
        <v>1998</v>
      </c>
      <c r="L6" s="34">
        <v>1999</v>
      </c>
      <c r="M6" s="34">
        <v>2000</v>
      </c>
      <c r="N6" s="34">
        <v>2001</v>
      </c>
      <c r="O6" s="34">
        <v>2002</v>
      </c>
      <c r="P6" s="34">
        <v>2001</v>
      </c>
      <c r="Q6" s="34">
        <v>2002</v>
      </c>
      <c r="R6" s="34">
        <v>2003</v>
      </c>
      <c r="S6" s="34">
        <v>2004</v>
      </c>
      <c r="T6" s="34">
        <v>2005</v>
      </c>
      <c r="U6" s="34">
        <v>2006</v>
      </c>
      <c r="V6" s="34">
        <v>2007</v>
      </c>
      <c r="W6" s="34">
        <v>2008</v>
      </c>
      <c r="X6" s="34">
        <v>2009</v>
      </c>
      <c r="Y6" s="34">
        <v>2010</v>
      </c>
      <c r="Z6" s="34">
        <v>2011</v>
      </c>
      <c r="AA6" s="34">
        <v>2012</v>
      </c>
    </row>
    <row r="7" spans="1:27" ht="121">
      <c r="A7" s="7" t="s">
        <v>3334</v>
      </c>
      <c r="B7" s="1"/>
      <c r="C7" s="1"/>
      <c r="D7" s="1"/>
      <c r="E7" s="15" t="s">
        <v>1930</v>
      </c>
      <c r="F7" s="15" t="s">
        <v>1659</v>
      </c>
      <c r="G7" s="15" t="s">
        <v>1931</v>
      </c>
      <c r="H7" s="15" t="s">
        <v>1932</v>
      </c>
      <c r="I7" s="15" t="s">
        <v>1933</v>
      </c>
      <c r="J7" s="15" t="s">
        <v>1934</v>
      </c>
      <c r="K7" s="15" t="s">
        <v>1935</v>
      </c>
      <c r="L7" s="15" t="s">
        <v>1936</v>
      </c>
      <c r="M7" s="15" t="s">
        <v>1937</v>
      </c>
      <c r="N7" s="15" t="s">
        <v>1938</v>
      </c>
      <c r="O7" s="15" t="s">
        <v>1939</v>
      </c>
      <c r="P7" s="15" t="s">
        <v>1951</v>
      </c>
      <c r="Q7" s="15" t="s">
        <v>1952</v>
      </c>
      <c r="R7" s="15" t="s">
        <v>1953</v>
      </c>
      <c r="S7" s="15" t="s">
        <v>1954</v>
      </c>
      <c r="T7" s="15" t="s">
        <v>1955</v>
      </c>
      <c r="U7" s="15" t="s">
        <v>1956</v>
      </c>
      <c r="V7" s="15" t="s">
        <v>1957</v>
      </c>
      <c r="W7" s="15" t="s">
        <v>1958</v>
      </c>
      <c r="X7" s="15" t="s">
        <v>1959</v>
      </c>
      <c r="Y7" s="15" t="s">
        <v>1960</v>
      </c>
      <c r="Z7" s="15" t="s">
        <v>1961</v>
      </c>
      <c r="AA7" s="15" t="s">
        <v>1962</v>
      </c>
    </row>
    <row r="8" spans="1:27">
      <c r="A8" s="9" t="s">
        <v>572</v>
      </c>
      <c r="B8" s="9" t="s">
        <v>770</v>
      </c>
      <c r="C8" s="9" t="s">
        <v>771</v>
      </c>
      <c r="D8" s="9" t="s">
        <v>772</v>
      </c>
      <c r="E8" s="9" t="s">
        <v>763</v>
      </c>
      <c r="F8" s="9" t="s">
        <v>690</v>
      </c>
      <c r="G8" s="9" t="s">
        <v>764</v>
      </c>
      <c r="H8" s="9" t="s">
        <v>765</v>
      </c>
      <c r="I8" s="9" t="s">
        <v>766</v>
      </c>
      <c r="J8" s="9" t="s">
        <v>680</v>
      </c>
      <c r="K8" s="9" t="s">
        <v>681</v>
      </c>
      <c r="L8" s="9" t="s">
        <v>682</v>
      </c>
      <c r="M8" s="9" t="s">
        <v>683</v>
      </c>
      <c r="N8" s="9" t="s">
        <v>684</v>
      </c>
      <c r="O8" s="9" t="s">
        <v>685</v>
      </c>
      <c r="P8" s="9" t="s">
        <v>684</v>
      </c>
      <c r="Q8" s="9" t="s">
        <v>685</v>
      </c>
      <c r="R8" s="9" t="s">
        <v>1940</v>
      </c>
      <c r="S8" s="9" t="s">
        <v>1941</v>
      </c>
      <c r="T8" s="9" t="s">
        <v>1942</v>
      </c>
      <c r="U8" s="9" t="s">
        <v>1943</v>
      </c>
      <c r="V8" s="9" t="s">
        <v>1944</v>
      </c>
      <c r="W8" s="9" t="s">
        <v>1945</v>
      </c>
      <c r="X8" s="9" t="s">
        <v>1946</v>
      </c>
      <c r="Y8" s="9" t="s">
        <v>1947</v>
      </c>
      <c r="Z8" s="9" t="s">
        <v>1948</v>
      </c>
      <c r="AA8" s="9" t="s">
        <v>1949</v>
      </c>
    </row>
    <row r="9" spans="1:27">
      <c r="A9" s="3" t="s">
        <v>850</v>
      </c>
      <c r="B9" s="3" t="s">
        <v>851</v>
      </c>
      <c r="C9" s="3">
        <v>1</v>
      </c>
      <c r="D9" s="3" t="s">
        <v>759</v>
      </c>
      <c r="E9" s="30">
        <v>21.7</v>
      </c>
      <c r="F9" s="30">
        <v>19.8</v>
      </c>
      <c r="G9" s="30">
        <v>22.7</v>
      </c>
      <c r="H9" s="30">
        <v>29.9</v>
      </c>
      <c r="I9" s="30">
        <v>33.799999999999997</v>
      </c>
      <c r="J9" s="30">
        <v>31.1</v>
      </c>
      <c r="K9" s="30">
        <v>31.2</v>
      </c>
      <c r="L9" s="30">
        <v>32</v>
      </c>
      <c r="M9" s="30">
        <v>33.9</v>
      </c>
      <c r="N9" s="30">
        <v>41.7</v>
      </c>
      <c r="O9" s="30">
        <v>62.7</v>
      </c>
      <c r="P9" s="30">
        <v>41.094552026852575</v>
      </c>
      <c r="Q9" s="30">
        <v>61.689023563315828</v>
      </c>
      <c r="R9" s="30">
        <v>50.845985024528787</v>
      </c>
      <c r="S9" s="30">
        <v>42.316636543592388</v>
      </c>
      <c r="T9" s="30">
        <v>35.309863155176863</v>
      </c>
      <c r="U9" s="30">
        <v>27.723266655365318</v>
      </c>
      <c r="V9" s="30">
        <v>22.471062892015595</v>
      </c>
      <c r="W9" s="30">
        <v>16.974605865400918</v>
      </c>
      <c r="X9" s="30">
        <v>13.780657738599762</v>
      </c>
      <c r="Y9" s="30">
        <v>10.305653500593323</v>
      </c>
      <c r="Z9" s="30">
        <v>7.0137819969486364</v>
      </c>
      <c r="AA9" s="30">
        <v>6.4324377013053065</v>
      </c>
    </row>
    <row r="10" spans="1:27">
      <c r="A10" s="3" t="s">
        <v>667</v>
      </c>
      <c r="B10" s="3" t="s">
        <v>668</v>
      </c>
      <c r="C10" s="3">
        <v>2</v>
      </c>
      <c r="D10" s="3" t="s">
        <v>759</v>
      </c>
      <c r="E10" s="30">
        <v>5.6</v>
      </c>
      <c r="F10" s="30">
        <v>6.2</v>
      </c>
      <c r="G10" s="30">
        <v>6.7</v>
      </c>
      <c r="H10" s="30">
        <v>8</v>
      </c>
      <c r="I10" s="30">
        <v>7.5</v>
      </c>
      <c r="J10" s="30">
        <v>7.5</v>
      </c>
      <c r="K10" s="30">
        <v>5.9</v>
      </c>
      <c r="L10" s="30">
        <v>8.3000000000000007</v>
      </c>
      <c r="M10" s="30">
        <v>9.5</v>
      </c>
      <c r="N10" s="30">
        <v>9.8000000000000007</v>
      </c>
      <c r="O10" s="30">
        <v>21.2</v>
      </c>
      <c r="P10" s="30">
        <v>9.8000000000000007</v>
      </c>
      <c r="Q10" s="30">
        <v>21.2</v>
      </c>
      <c r="R10" s="30">
        <v>21.5</v>
      </c>
      <c r="S10" s="30">
        <v>14.7</v>
      </c>
      <c r="T10" s="30">
        <v>11.5</v>
      </c>
      <c r="U10" s="30">
        <v>10.1</v>
      </c>
      <c r="V10" s="30">
        <v>8.4</v>
      </c>
      <c r="W10" s="30">
        <v>5.3</v>
      </c>
      <c r="X10" s="30">
        <v>6.1</v>
      </c>
      <c r="Y10" s="30">
        <v>4.2</v>
      </c>
      <c r="Z10" s="30">
        <v>2.2999999999999998</v>
      </c>
      <c r="AA10" s="30">
        <v>2.1999999999999997</v>
      </c>
    </row>
    <row r="11" spans="1:27">
      <c r="A11" s="3" t="s">
        <v>669</v>
      </c>
      <c r="B11" s="3" t="s">
        <v>663</v>
      </c>
      <c r="C11" s="3">
        <v>3</v>
      </c>
      <c r="D11" s="3" t="s">
        <v>664</v>
      </c>
      <c r="E11" s="30">
        <v>33.200000000000003</v>
      </c>
      <c r="F11" s="30">
        <v>27.8</v>
      </c>
      <c r="G11" s="30">
        <v>32</v>
      </c>
      <c r="H11" s="30">
        <v>36.799999999999997</v>
      </c>
      <c r="I11" s="30">
        <v>40.6</v>
      </c>
      <c r="J11" s="30">
        <v>35</v>
      </c>
      <c r="K11" s="30">
        <v>39.700000000000003</v>
      </c>
      <c r="L11" s="30">
        <v>40.1</v>
      </c>
      <c r="M11" s="30">
        <v>39.4</v>
      </c>
      <c r="N11" s="30">
        <v>36.9</v>
      </c>
      <c r="O11" s="30">
        <v>62.7</v>
      </c>
      <c r="P11" s="30">
        <v>36.9</v>
      </c>
      <c r="Q11" s="30">
        <v>62.5</v>
      </c>
      <c r="R11" s="30">
        <v>55.399999999999991</v>
      </c>
      <c r="S11" s="30">
        <v>49.4</v>
      </c>
      <c r="T11" s="30">
        <v>49.8</v>
      </c>
      <c r="U11" s="30">
        <v>37.200000000000003</v>
      </c>
      <c r="V11" s="30">
        <v>28.199999999999996</v>
      </c>
      <c r="W11" s="30">
        <v>20.399999999999999</v>
      </c>
      <c r="X11" s="30">
        <v>17.2</v>
      </c>
      <c r="Y11" s="30">
        <v>14.099999999999998</v>
      </c>
      <c r="Z11" s="30">
        <v>10</v>
      </c>
      <c r="AA11" s="30">
        <v>8</v>
      </c>
    </row>
    <row r="12" spans="1:27">
      <c r="A12" s="3" t="s">
        <v>665</v>
      </c>
      <c r="B12" s="3" t="s">
        <v>640</v>
      </c>
      <c r="C12" s="3">
        <v>4</v>
      </c>
      <c r="D12" s="3" t="s">
        <v>641</v>
      </c>
      <c r="E12" s="30">
        <v>46.7</v>
      </c>
      <c r="F12" s="30">
        <v>38.9</v>
      </c>
      <c r="G12" s="30">
        <v>43.5</v>
      </c>
      <c r="H12" s="30">
        <v>48.1</v>
      </c>
      <c r="I12" s="30">
        <v>49</v>
      </c>
      <c r="J12" s="30">
        <v>51</v>
      </c>
      <c r="K12" s="30">
        <v>56.3</v>
      </c>
      <c r="L12" s="30">
        <v>52</v>
      </c>
      <c r="M12" s="30">
        <v>53.5</v>
      </c>
      <c r="N12" s="30">
        <v>58</v>
      </c>
      <c r="O12" s="30">
        <v>71.599999999999994</v>
      </c>
      <c r="P12" s="30">
        <v>57.999999999999993</v>
      </c>
      <c r="Q12" s="30">
        <v>71.5</v>
      </c>
      <c r="R12" s="30">
        <v>65.5</v>
      </c>
      <c r="S12" s="30">
        <v>64.400000000000006</v>
      </c>
      <c r="T12" s="30">
        <v>54.2</v>
      </c>
      <c r="U12" s="30">
        <v>48.1</v>
      </c>
      <c r="V12" s="30">
        <v>40</v>
      </c>
      <c r="W12" s="30">
        <v>30.2</v>
      </c>
      <c r="X12" s="30">
        <v>21.4</v>
      </c>
      <c r="Y12" s="30">
        <v>19.399999999999999</v>
      </c>
      <c r="Z12" s="30">
        <v>14.2</v>
      </c>
      <c r="AA12" s="30">
        <v>5.8999999999999995</v>
      </c>
    </row>
    <row r="13" spans="1:27">
      <c r="A13" s="3" t="s">
        <v>539</v>
      </c>
      <c r="B13" s="3" t="s">
        <v>540</v>
      </c>
      <c r="C13" s="3">
        <v>5</v>
      </c>
      <c r="D13" s="3" t="s">
        <v>541</v>
      </c>
      <c r="E13" s="30">
        <v>15.8</v>
      </c>
      <c r="F13" s="30">
        <v>15.3</v>
      </c>
      <c r="G13" s="30">
        <v>18.100000000000001</v>
      </c>
      <c r="H13" s="30">
        <v>16.8</v>
      </c>
      <c r="I13" s="30">
        <v>19.100000000000001</v>
      </c>
      <c r="J13" s="30">
        <v>18.5</v>
      </c>
      <c r="K13" s="30">
        <v>20.8</v>
      </c>
      <c r="L13" s="30">
        <v>26.6</v>
      </c>
      <c r="M13" s="30">
        <v>26.6</v>
      </c>
      <c r="N13" s="30">
        <v>24.4</v>
      </c>
      <c r="O13" s="30">
        <v>42.2</v>
      </c>
      <c r="P13" s="30">
        <v>24.2</v>
      </c>
      <c r="Q13" s="30">
        <v>46.751111111111115</v>
      </c>
      <c r="R13" s="30">
        <v>30.5</v>
      </c>
      <c r="S13" s="30">
        <v>21</v>
      </c>
      <c r="T13" s="30">
        <v>19</v>
      </c>
      <c r="U13" s="30">
        <v>15.340740740000001</v>
      </c>
      <c r="V13" s="30">
        <v>6.6807407403999992</v>
      </c>
      <c r="W13" s="30">
        <v>5.5222222219999999</v>
      </c>
      <c r="X13" s="30">
        <v>5.5533333331999994</v>
      </c>
      <c r="Y13" s="30">
        <v>4.6162962961999998</v>
      </c>
      <c r="Z13" s="30">
        <v>3.3637037036000001</v>
      </c>
      <c r="AA13" s="30">
        <v>3.162962963</v>
      </c>
    </row>
    <row r="14" spans="1:27">
      <c r="A14" s="3" t="s">
        <v>542</v>
      </c>
      <c r="B14" s="3" t="s">
        <v>543</v>
      </c>
      <c r="C14" s="3">
        <v>6</v>
      </c>
      <c r="D14" s="3" t="s">
        <v>759</v>
      </c>
      <c r="E14" s="30">
        <v>19</v>
      </c>
      <c r="F14" s="30">
        <v>18.3</v>
      </c>
      <c r="G14" s="30">
        <v>14.9</v>
      </c>
      <c r="H14" s="30">
        <v>24.3</v>
      </c>
      <c r="I14" s="31"/>
      <c r="J14" s="30">
        <v>29.3</v>
      </c>
      <c r="K14" s="30">
        <v>28.3</v>
      </c>
      <c r="L14" s="30">
        <v>28.4</v>
      </c>
      <c r="M14" s="30">
        <v>29.7</v>
      </c>
      <c r="N14" s="30">
        <v>36.200000000000003</v>
      </c>
      <c r="O14" s="30">
        <v>58.5</v>
      </c>
      <c r="P14" s="30">
        <v>35.581145431145437</v>
      </c>
      <c r="Q14" s="30">
        <v>58.007014157014154</v>
      </c>
      <c r="R14" s="30">
        <v>47.539897039897042</v>
      </c>
      <c r="S14" s="30">
        <v>41.223101673101674</v>
      </c>
      <c r="T14" s="30">
        <v>33.245495495495497</v>
      </c>
      <c r="U14" s="30">
        <v>24.439897039897041</v>
      </c>
      <c r="V14" s="30">
        <v>16.774839124839126</v>
      </c>
      <c r="W14" s="30">
        <v>12.269948519948521</v>
      </c>
      <c r="X14" s="30">
        <v>9.711904761904762</v>
      </c>
      <c r="Y14" s="30">
        <v>7.5321750321750329</v>
      </c>
      <c r="Z14" s="30">
        <v>6.6041827541827534</v>
      </c>
      <c r="AA14" s="30">
        <v>5.0636422136422139</v>
      </c>
    </row>
    <row r="15" spans="1:27">
      <c r="A15" s="3" t="s">
        <v>628</v>
      </c>
      <c r="B15" s="3" t="s">
        <v>629</v>
      </c>
      <c r="C15" s="3">
        <v>7</v>
      </c>
      <c r="D15" s="3" t="s">
        <v>641</v>
      </c>
      <c r="E15" s="30">
        <v>42.8</v>
      </c>
      <c r="F15" s="30">
        <v>42</v>
      </c>
      <c r="G15" s="30">
        <v>41.7</v>
      </c>
      <c r="H15" s="30">
        <v>43.2</v>
      </c>
      <c r="I15" s="30">
        <v>49.2</v>
      </c>
      <c r="J15" s="30">
        <v>46.5</v>
      </c>
      <c r="K15" s="30">
        <v>49.3</v>
      </c>
      <c r="L15" s="30">
        <v>50.9</v>
      </c>
      <c r="M15" s="30">
        <v>52.4</v>
      </c>
      <c r="N15" s="30">
        <v>58.8</v>
      </c>
      <c r="O15" s="30">
        <v>74.400000000000006</v>
      </c>
      <c r="P15" s="30">
        <v>58.70000000000001</v>
      </c>
      <c r="Q15" s="30">
        <v>74.400000000000006</v>
      </c>
      <c r="R15" s="30">
        <v>68.7</v>
      </c>
      <c r="S15" s="30">
        <v>63.9</v>
      </c>
      <c r="T15" s="30">
        <v>56.100000000000009</v>
      </c>
      <c r="U15" s="30">
        <v>46</v>
      </c>
      <c r="V15" s="30">
        <v>38.200000000000003</v>
      </c>
      <c r="W15" s="30">
        <v>27.399999999999995</v>
      </c>
      <c r="X15" s="30">
        <v>25.8</v>
      </c>
      <c r="Y15" s="30">
        <v>19</v>
      </c>
      <c r="Z15" s="30">
        <v>13.4</v>
      </c>
      <c r="AA15" s="30">
        <v>11.799999999999999</v>
      </c>
    </row>
    <row r="16" spans="1:27">
      <c r="A16" s="3" t="s">
        <v>630</v>
      </c>
      <c r="B16" s="3" t="s">
        <v>631</v>
      </c>
      <c r="C16" s="3">
        <v>8</v>
      </c>
      <c r="D16" s="3" t="s">
        <v>759</v>
      </c>
      <c r="E16" s="30">
        <v>26.5</v>
      </c>
      <c r="F16" s="30">
        <v>25.8</v>
      </c>
      <c r="G16" s="30">
        <v>29.9</v>
      </c>
      <c r="H16" s="30">
        <v>30.8</v>
      </c>
      <c r="I16" s="30">
        <v>34.9</v>
      </c>
      <c r="J16" s="30">
        <v>35.1</v>
      </c>
      <c r="K16" s="30">
        <v>36.1</v>
      </c>
      <c r="L16" s="30">
        <v>34.299999999999997</v>
      </c>
      <c r="M16" s="30">
        <v>36.299999999999997</v>
      </c>
      <c r="N16" s="30">
        <v>50.1</v>
      </c>
      <c r="O16" s="30">
        <v>66.7</v>
      </c>
      <c r="P16" s="30">
        <v>55.904952830188684</v>
      </c>
      <c r="Q16" s="30">
        <v>70.617452830188682</v>
      </c>
      <c r="R16" s="30">
        <v>55.718867924528311</v>
      </c>
      <c r="S16" s="30">
        <v>46.414386792452831</v>
      </c>
      <c r="T16" s="30">
        <v>41.472169811320754</v>
      </c>
      <c r="U16" s="30">
        <v>29.421698113207547</v>
      </c>
      <c r="V16" s="30">
        <v>17.670754716981133</v>
      </c>
      <c r="W16" s="30">
        <v>15.54622641509434</v>
      </c>
      <c r="X16" s="30">
        <v>13.535377358490567</v>
      </c>
      <c r="Y16" s="30">
        <v>11.173820754716981</v>
      </c>
      <c r="Z16" s="30">
        <v>6.9752358490566033</v>
      </c>
      <c r="AA16" s="30">
        <v>5.3162735849056606</v>
      </c>
    </row>
    <row r="17" spans="1:27">
      <c r="A17" s="3" t="s">
        <v>632</v>
      </c>
      <c r="B17" s="3" t="s">
        <v>633</v>
      </c>
      <c r="C17" s="3">
        <v>9</v>
      </c>
      <c r="D17" s="3" t="s">
        <v>641</v>
      </c>
      <c r="E17" s="30">
        <v>45.4</v>
      </c>
      <c r="F17" s="30">
        <v>45.6</v>
      </c>
      <c r="G17" s="30">
        <v>42.7</v>
      </c>
      <c r="H17" s="30">
        <v>46.8</v>
      </c>
      <c r="I17" s="30">
        <v>54.1</v>
      </c>
      <c r="J17" s="30">
        <v>51.8</v>
      </c>
      <c r="K17" s="30">
        <v>50.1</v>
      </c>
      <c r="L17" s="30">
        <v>56.2</v>
      </c>
      <c r="M17" s="30">
        <v>59.3</v>
      </c>
      <c r="N17" s="30">
        <v>58.2</v>
      </c>
      <c r="O17" s="30">
        <v>69.099999999999994</v>
      </c>
      <c r="P17" s="30">
        <v>58.099999999999994</v>
      </c>
      <c r="Q17" s="30">
        <v>68.7</v>
      </c>
      <c r="R17" s="30">
        <v>60.4</v>
      </c>
      <c r="S17" s="30">
        <v>53.800000000000004</v>
      </c>
      <c r="T17" s="30">
        <v>51.6</v>
      </c>
      <c r="U17" s="30">
        <v>43.7</v>
      </c>
      <c r="V17" s="30">
        <v>34.5</v>
      </c>
      <c r="W17" s="30">
        <v>23.4</v>
      </c>
      <c r="X17" s="30">
        <v>23.1</v>
      </c>
      <c r="Y17" s="30">
        <v>13.600000000000001</v>
      </c>
      <c r="Z17" s="30">
        <v>7.7</v>
      </c>
      <c r="AA17" s="30">
        <v>6.4</v>
      </c>
    </row>
    <row r="18" spans="1:27">
      <c r="A18" s="3" t="s">
        <v>634</v>
      </c>
      <c r="B18" s="3" t="s">
        <v>715</v>
      </c>
      <c r="C18" s="3">
        <v>10</v>
      </c>
      <c r="D18" s="3" t="s">
        <v>664</v>
      </c>
      <c r="E18" s="30">
        <v>45.1</v>
      </c>
      <c r="F18" s="30">
        <v>44.4</v>
      </c>
      <c r="G18" s="30">
        <v>41.7</v>
      </c>
      <c r="H18" s="30">
        <v>52.9</v>
      </c>
      <c r="I18" s="30">
        <v>54.2</v>
      </c>
      <c r="J18" s="30">
        <v>55.4</v>
      </c>
      <c r="K18" s="30">
        <v>58</v>
      </c>
      <c r="L18" s="30">
        <v>53.9</v>
      </c>
      <c r="M18" s="30">
        <v>50.4</v>
      </c>
      <c r="N18" s="30">
        <v>57.3</v>
      </c>
      <c r="O18" s="30">
        <v>73.099999999999994</v>
      </c>
      <c r="P18" s="30">
        <v>57.3</v>
      </c>
      <c r="Q18" s="30">
        <v>73.099999999999994</v>
      </c>
      <c r="R18" s="30">
        <v>62.6</v>
      </c>
      <c r="S18" s="30">
        <v>59.5</v>
      </c>
      <c r="T18" s="30">
        <v>51.2</v>
      </c>
      <c r="U18" s="30">
        <v>40</v>
      </c>
      <c r="V18" s="30">
        <v>31.7</v>
      </c>
      <c r="W18" s="30">
        <v>20.399999999999999</v>
      </c>
      <c r="X18" s="30">
        <v>17.3</v>
      </c>
      <c r="Y18" s="30">
        <v>9.6</v>
      </c>
      <c r="Z18" s="30">
        <v>8</v>
      </c>
      <c r="AA18" s="30">
        <v>4.8</v>
      </c>
    </row>
    <row r="19" spans="1:27">
      <c r="A19" s="3" t="s">
        <v>716</v>
      </c>
      <c r="B19" s="3" t="s">
        <v>717</v>
      </c>
      <c r="C19" s="3">
        <v>11</v>
      </c>
      <c r="D19" s="3" t="s">
        <v>541</v>
      </c>
      <c r="E19" s="30">
        <v>18.3</v>
      </c>
      <c r="F19" s="30">
        <v>18.600000000000001</v>
      </c>
      <c r="G19" s="30">
        <v>21</v>
      </c>
      <c r="H19" s="30">
        <v>26</v>
      </c>
      <c r="I19" s="30">
        <v>25.2</v>
      </c>
      <c r="J19" s="30">
        <v>28.5</v>
      </c>
      <c r="K19" s="30">
        <v>28.6</v>
      </c>
      <c r="L19" s="30">
        <v>29.1</v>
      </c>
      <c r="M19" s="30">
        <v>30.5</v>
      </c>
      <c r="N19" s="30">
        <v>33.799999999999997</v>
      </c>
      <c r="O19" s="30">
        <v>49.3</v>
      </c>
      <c r="P19" s="30">
        <v>33.700000000000003</v>
      </c>
      <c r="Q19" s="30">
        <v>49.5</v>
      </c>
      <c r="R19" s="30">
        <v>40.9</v>
      </c>
      <c r="S19" s="30">
        <v>30.7</v>
      </c>
      <c r="T19" s="30">
        <v>27.800000000000004</v>
      </c>
      <c r="U19" s="30">
        <v>24.5</v>
      </c>
      <c r="V19" s="30">
        <v>12.3</v>
      </c>
      <c r="W19" s="30">
        <v>7.5</v>
      </c>
      <c r="X19" s="30">
        <v>4.4000000000000004</v>
      </c>
      <c r="Y19" s="30">
        <v>6.5</v>
      </c>
      <c r="Z19" s="30">
        <v>3.5000000000000004</v>
      </c>
      <c r="AA19" s="30">
        <v>1.5</v>
      </c>
    </row>
    <row r="20" spans="1:27">
      <c r="A20" s="3" t="s">
        <v>718</v>
      </c>
      <c r="B20" s="3" t="s">
        <v>719</v>
      </c>
      <c r="C20" s="3">
        <v>12</v>
      </c>
      <c r="D20" s="3" t="s">
        <v>664</v>
      </c>
      <c r="E20" s="30">
        <v>28.8</v>
      </c>
      <c r="F20" s="30">
        <v>29.6</v>
      </c>
      <c r="G20" s="30">
        <v>30.1</v>
      </c>
      <c r="H20" s="30">
        <v>33.700000000000003</v>
      </c>
      <c r="I20" s="30">
        <v>35.1</v>
      </c>
      <c r="J20" s="30">
        <v>31.8</v>
      </c>
      <c r="K20" s="30">
        <v>36.700000000000003</v>
      </c>
      <c r="L20" s="30">
        <v>29.7</v>
      </c>
      <c r="M20" s="30">
        <v>39.6</v>
      </c>
      <c r="N20" s="30">
        <v>44.5</v>
      </c>
      <c r="O20" s="30">
        <v>66.3</v>
      </c>
      <c r="P20" s="30">
        <v>44.5</v>
      </c>
      <c r="Q20" s="30">
        <v>66.2</v>
      </c>
      <c r="R20" s="30">
        <v>51.5</v>
      </c>
      <c r="S20" s="30">
        <v>44.2</v>
      </c>
      <c r="T20" s="30">
        <v>37.5</v>
      </c>
      <c r="U20" s="30">
        <v>29.9</v>
      </c>
      <c r="V20" s="30">
        <v>22</v>
      </c>
      <c r="W20" s="30">
        <v>17.2</v>
      </c>
      <c r="X20" s="30">
        <v>14.2</v>
      </c>
      <c r="Y20" s="30">
        <v>9.6999999999999993</v>
      </c>
      <c r="Z20" s="30">
        <v>4.4000000000000004</v>
      </c>
      <c r="AA20" s="30">
        <v>2.5</v>
      </c>
    </row>
    <row r="21" spans="1:27">
      <c r="A21" s="3" t="s">
        <v>711</v>
      </c>
      <c r="B21" s="3" t="s">
        <v>712</v>
      </c>
      <c r="C21" s="3">
        <v>13</v>
      </c>
      <c r="D21" s="3" t="s">
        <v>713</v>
      </c>
      <c r="E21" s="30">
        <v>19.3</v>
      </c>
      <c r="F21" s="30">
        <v>19.8</v>
      </c>
      <c r="G21" s="30">
        <v>20.2</v>
      </c>
      <c r="H21" s="30">
        <v>33.5</v>
      </c>
      <c r="I21" s="30">
        <v>32.299999999999997</v>
      </c>
      <c r="J21" s="30">
        <v>29.1</v>
      </c>
      <c r="K21" s="30">
        <v>31.1</v>
      </c>
      <c r="L21" s="30">
        <v>33</v>
      </c>
      <c r="M21" s="30">
        <v>37.700000000000003</v>
      </c>
      <c r="N21" s="30">
        <v>36.799999999999997</v>
      </c>
      <c r="O21" s="30">
        <v>58.5</v>
      </c>
      <c r="P21" s="30">
        <v>36.700000000000003</v>
      </c>
      <c r="Q21" s="30">
        <v>58.4</v>
      </c>
      <c r="R21" s="30">
        <v>51.4</v>
      </c>
      <c r="S21" s="30">
        <v>39.700000000000003</v>
      </c>
      <c r="T21" s="30">
        <v>33.800000000000004</v>
      </c>
      <c r="U21" s="30">
        <v>20.3</v>
      </c>
      <c r="V21" s="30">
        <v>10.5</v>
      </c>
      <c r="W21" s="30">
        <v>8.3000000000000007</v>
      </c>
      <c r="X21" s="30">
        <v>11.3</v>
      </c>
      <c r="Y21" s="30">
        <v>7.0000000000000009</v>
      </c>
      <c r="Z21" s="30">
        <v>3.9</v>
      </c>
      <c r="AA21" s="30">
        <v>3.5000000000000004</v>
      </c>
    </row>
    <row r="22" spans="1:27">
      <c r="A22" s="3" t="s">
        <v>714</v>
      </c>
      <c r="B22" s="3" t="s">
        <v>530</v>
      </c>
      <c r="C22" s="3">
        <v>14</v>
      </c>
      <c r="D22" s="3" t="s">
        <v>641</v>
      </c>
      <c r="E22" s="30">
        <v>36</v>
      </c>
      <c r="F22" s="30">
        <v>30</v>
      </c>
      <c r="G22" s="30">
        <v>35.6</v>
      </c>
      <c r="H22" s="30">
        <v>43</v>
      </c>
      <c r="I22" s="30">
        <v>44.6</v>
      </c>
      <c r="J22" s="30">
        <v>44.8</v>
      </c>
      <c r="K22" s="30">
        <v>44.2</v>
      </c>
      <c r="L22" s="30">
        <v>44.9</v>
      </c>
      <c r="M22" s="30">
        <v>49.5</v>
      </c>
      <c r="N22" s="30">
        <v>53.8</v>
      </c>
      <c r="O22" s="30">
        <v>70</v>
      </c>
      <c r="P22" s="30">
        <v>53.79999999999999</v>
      </c>
      <c r="Q22" s="30">
        <v>69.900000000000006</v>
      </c>
      <c r="R22" s="30">
        <v>61.199999999999996</v>
      </c>
      <c r="S22" s="30">
        <v>51.300000000000004</v>
      </c>
      <c r="T22" s="30">
        <v>53</v>
      </c>
      <c r="U22" s="30">
        <v>43.6</v>
      </c>
      <c r="V22" s="30">
        <v>33.700000000000003</v>
      </c>
      <c r="W22" s="30">
        <v>32.5</v>
      </c>
      <c r="X22" s="30">
        <v>23.9</v>
      </c>
      <c r="Y22" s="30">
        <v>20.7</v>
      </c>
      <c r="Z22" s="30">
        <v>12.5</v>
      </c>
      <c r="AA22" s="30">
        <v>8.2000000000000011</v>
      </c>
    </row>
    <row r="23" spans="1:27">
      <c r="A23" s="3" t="s">
        <v>620</v>
      </c>
      <c r="B23" s="3" t="s">
        <v>621</v>
      </c>
      <c r="C23" s="3">
        <v>15</v>
      </c>
      <c r="D23" s="3" t="s">
        <v>541</v>
      </c>
      <c r="E23" s="30">
        <v>23.8</v>
      </c>
      <c r="F23" s="30">
        <v>18</v>
      </c>
      <c r="G23" s="30">
        <v>25.2</v>
      </c>
      <c r="H23" s="30">
        <v>31.6</v>
      </c>
      <c r="I23" s="30">
        <v>30.6</v>
      </c>
      <c r="J23" s="30">
        <v>30</v>
      </c>
      <c r="K23" s="30">
        <v>29.7</v>
      </c>
      <c r="L23" s="30">
        <v>30.4</v>
      </c>
      <c r="M23" s="30">
        <v>30.3</v>
      </c>
      <c r="N23" s="30">
        <v>30</v>
      </c>
      <c r="O23" s="30">
        <v>50.9</v>
      </c>
      <c r="P23" s="30">
        <v>29.9</v>
      </c>
      <c r="Q23" s="30">
        <v>50.7</v>
      </c>
      <c r="R23" s="30">
        <v>44.9</v>
      </c>
      <c r="S23" s="30">
        <v>33.4</v>
      </c>
      <c r="T23" s="30">
        <v>32.700000000000003</v>
      </c>
      <c r="U23" s="30">
        <v>20.5</v>
      </c>
      <c r="V23" s="30">
        <v>15</v>
      </c>
      <c r="W23" s="30">
        <v>12.7</v>
      </c>
      <c r="X23" s="30">
        <v>8.1</v>
      </c>
      <c r="Y23" s="30">
        <v>9.1</v>
      </c>
      <c r="Z23" s="30">
        <v>5.5</v>
      </c>
      <c r="AA23" s="30">
        <v>7.8</v>
      </c>
    </row>
    <row r="24" spans="1:27">
      <c r="A24" s="3" t="s">
        <v>622</v>
      </c>
      <c r="B24" s="3" t="s">
        <v>925</v>
      </c>
      <c r="C24" s="3">
        <v>16</v>
      </c>
      <c r="D24" s="3" t="s">
        <v>541</v>
      </c>
      <c r="E24" s="31"/>
      <c r="F24" s="31"/>
      <c r="G24" s="31"/>
      <c r="H24" s="31"/>
      <c r="I24" s="31"/>
      <c r="J24" s="31"/>
      <c r="K24" s="31"/>
      <c r="L24" s="31"/>
      <c r="M24" s="31"/>
      <c r="N24" s="31"/>
      <c r="O24" s="30">
        <v>52.2</v>
      </c>
      <c r="P24" s="30"/>
      <c r="Q24" s="30">
        <v>52.2</v>
      </c>
      <c r="R24" s="30"/>
      <c r="S24" s="30"/>
      <c r="T24" s="30"/>
      <c r="U24" s="30">
        <v>27.3</v>
      </c>
      <c r="V24" s="30">
        <v>20</v>
      </c>
      <c r="W24" s="30">
        <v>12.9</v>
      </c>
      <c r="X24" s="30">
        <v>14.2</v>
      </c>
      <c r="Y24" s="30">
        <v>9.4</v>
      </c>
      <c r="Z24" s="30">
        <v>5.9</v>
      </c>
      <c r="AA24" s="30">
        <v>3.9</v>
      </c>
    </row>
    <row r="25" spans="1:27">
      <c r="A25" s="3" t="s">
        <v>926</v>
      </c>
      <c r="B25" s="3" t="s">
        <v>927</v>
      </c>
      <c r="C25" s="3">
        <v>17</v>
      </c>
      <c r="D25" s="3" t="s">
        <v>664</v>
      </c>
      <c r="E25" s="30">
        <v>31.2</v>
      </c>
      <c r="F25" s="30">
        <v>30.9</v>
      </c>
      <c r="G25" s="30">
        <v>34.5</v>
      </c>
      <c r="H25" s="30">
        <v>40.1</v>
      </c>
      <c r="I25" s="30">
        <v>47.3</v>
      </c>
      <c r="J25" s="30">
        <v>41.3</v>
      </c>
      <c r="K25" s="30">
        <v>40.299999999999997</v>
      </c>
      <c r="L25" s="30">
        <v>43</v>
      </c>
      <c r="M25" s="30">
        <v>48.3</v>
      </c>
      <c r="N25" s="30">
        <v>52.8</v>
      </c>
      <c r="O25" s="30">
        <v>70.5</v>
      </c>
      <c r="P25" s="30">
        <v>52.900000000000006</v>
      </c>
      <c r="Q25" s="30">
        <v>70.3</v>
      </c>
      <c r="R25" s="30">
        <v>61.7</v>
      </c>
      <c r="S25" s="30">
        <v>52.1</v>
      </c>
      <c r="T25" s="30">
        <v>49.1</v>
      </c>
      <c r="U25" s="30">
        <v>41.4</v>
      </c>
      <c r="V25" s="30">
        <v>33.4</v>
      </c>
      <c r="W25" s="30">
        <v>22.7</v>
      </c>
      <c r="X25" s="30">
        <v>13.5</v>
      </c>
      <c r="Y25" s="30">
        <v>12.2</v>
      </c>
      <c r="Z25" s="30">
        <v>7.3</v>
      </c>
      <c r="AA25" s="30">
        <v>4.3</v>
      </c>
    </row>
    <row r="26" spans="1:27">
      <c r="A26" s="3" t="s">
        <v>928</v>
      </c>
      <c r="B26" s="3" t="s">
        <v>929</v>
      </c>
      <c r="C26" s="3">
        <v>18</v>
      </c>
      <c r="D26" s="3" t="s">
        <v>713</v>
      </c>
      <c r="E26" s="30">
        <v>36.1</v>
      </c>
      <c r="F26" s="30">
        <v>26.3</v>
      </c>
      <c r="G26" s="30">
        <v>28.9</v>
      </c>
      <c r="H26" s="30">
        <v>41.8</v>
      </c>
      <c r="I26" s="30">
        <v>39.6</v>
      </c>
      <c r="J26" s="30">
        <v>36.799999999999997</v>
      </c>
      <c r="K26" s="30">
        <v>35.200000000000003</v>
      </c>
      <c r="L26" s="30">
        <v>33.4</v>
      </c>
      <c r="M26" s="30">
        <v>42</v>
      </c>
      <c r="N26" s="30">
        <v>46.2</v>
      </c>
      <c r="O26" s="30">
        <v>67.900000000000006</v>
      </c>
      <c r="P26" s="30">
        <v>40.5</v>
      </c>
      <c r="Q26" s="30">
        <v>62.8</v>
      </c>
      <c r="R26" s="30">
        <v>52.2</v>
      </c>
      <c r="S26" s="30">
        <v>44.6</v>
      </c>
      <c r="T26" s="30">
        <v>44</v>
      </c>
      <c r="U26" s="30">
        <v>37.799999999999997</v>
      </c>
      <c r="V26" s="30">
        <v>23.5</v>
      </c>
      <c r="W26" s="30">
        <v>17.600000000000001</v>
      </c>
      <c r="X26" s="30">
        <v>17.100000000000001</v>
      </c>
      <c r="Y26" s="30">
        <v>15.299999999999999</v>
      </c>
      <c r="Z26" s="30">
        <v>11.1</v>
      </c>
      <c r="AA26" s="30">
        <v>5.8000000000000007</v>
      </c>
    </row>
    <row r="27" spans="1:27">
      <c r="A27" s="3" t="s">
        <v>841</v>
      </c>
      <c r="B27" s="3" t="s">
        <v>659</v>
      </c>
      <c r="C27" s="3">
        <v>19</v>
      </c>
      <c r="D27" s="3" t="s">
        <v>713</v>
      </c>
      <c r="E27" s="30">
        <v>26.1</v>
      </c>
      <c r="F27" s="30">
        <v>25.4</v>
      </c>
      <c r="G27" s="30">
        <v>22.5</v>
      </c>
      <c r="H27" s="30">
        <v>36.299999999999997</v>
      </c>
      <c r="I27" s="30">
        <v>38.200000000000003</v>
      </c>
      <c r="J27" s="30">
        <v>37.9</v>
      </c>
      <c r="K27" s="30">
        <v>36</v>
      </c>
      <c r="L27" s="30">
        <v>35.6</v>
      </c>
      <c r="M27" s="30">
        <v>41.5</v>
      </c>
      <c r="N27" s="30">
        <v>40.5</v>
      </c>
      <c r="O27" s="30">
        <v>62.8</v>
      </c>
      <c r="P27" s="30">
        <v>45.9</v>
      </c>
      <c r="Q27" s="30">
        <v>67.900000000000006</v>
      </c>
      <c r="R27" s="30">
        <v>50.4</v>
      </c>
      <c r="S27" s="30">
        <v>42</v>
      </c>
      <c r="T27" s="30">
        <v>34.9</v>
      </c>
      <c r="U27" s="30">
        <v>27</v>
      </c>
      <c r="V27" s="30">
        <v>22.8</v>
      </c>
      <c r="W27" s="30">
        <v>13.900000000000002</v>
      </c>
      <c r="X27" s="30">
        <v>17.600000000000001</v>
      </c>
      <c r="Y27" s="30">
        <v>9.6999999999999993</v>
      </c>
      <c r="Z27" s="30">
        <v>5.2</v>
      </c>
      <c r="AA27" s="30">
        <v>4.3</v>
      </c>
    </row>
    <row r="28" spans="1:27">
      <c r="A28" s="3" t="s">
        <v>660</v>
      </c>
      <c r="B28" s="3" t="s">
        <v>661</v>
      </c>
      <c r="C28" s="3">
        <v>20</v>
      </c>
      <c r="D28" s="3" t="s">
        <v>541</v>
      </c>
      <c r="E28" s="30">
        <v>15.9</v>
      </c>
      <c r="F28" s="30">
        <v>13.1</v>
      </c>
      <c r="G28" s="30">
        <v>13.5</v>
      </c>
      <c r="H28" s="30">
        <v>14.3</v>
      </c>
      <c r="I28" s="30">
        <v>14.6</v>
      </c>
      <c r="J28" s="30">
        <v>14.7</v>
      </c>
      <c r="K28" s="30">
        <v>17.2</v>
      </c>
      <c r="L28" s="30">
        <v>14.5</v>
      </c>
      <c r="M28" s="30">
        <v>12.2</v>
      </c>
      <c r="N28" s="30">
        <v>11.6</v>
      </c>
      <c r="O28" s="30">
        <v>33.299999999999997</v>
      </c>
      <c r="P28" s="30">
        <v>11.6</v>
      </c>
      <c r="Q28" s="30">
        <v>33.299999999999997</v>
      </c>
      <c r="R28" s="30">
        <v>33.799999999999997</v>
      </c>
      <c r="S28" s="30">
        <v>16.100000000000001</v>
      </c>
      <c r="T28" s="30">
        <v>8.9</v>
      </c>
      <c r="U28" s="30">
        <v>5.8</v>
      </c>
      <c r="V28" s="30">
        <v>4.0999999999999996</v>
      </c>
      <c r="W28" s="30">
        <v>2.2000000000000002</v>
      </c>
      <c r="X28" s="30">
        <v>1.0999999999999999</v>
      </c>
      <c r="Y28" s="30">
        <v>0.90000000000000013</v>
      </c>
      <c r="Z28" s="30">
        <v>1.1000000000000001</v>
      </c>
      <c r="AA28" s="30">
        <v>2.1</v>
      </c>
    </row>
    <row r="29" spans="1:27">
      <c r="A29" s="3" t="s">
        <v>80</v>
      </c>
      <c r="B29" s="3" t="s">
        <v>747</v>
      </c>
      <c r="C29" s="3">
        <v>21</v>
      </c>
      <c r="D29" s="3" t="s">
        <v>759</v>
      </c>
      <c r="E29" s="30">
        <v>22.9</v>
      </c>
      <c r="F29" s="30">
        <v>23.3</v>
      </c>
      <c r="G29" s="30">
        <v>25.2</v>
      </c>
      <c r="H29" s="30">
        <v>30.5</v>
      </c>
      <c r="I29" s="30">
        <v>33.4</v>
      </c>
      <c r="J29" s="30">
        <v>29.4</v>
      </c>
      <c r="K29" s="30">
        <v>34.799999999999997</v>
      </c>
      <c r="L29" s="30">
        <v>32.4</v>
      </c>
      <c r="M29" s="30">
        <v>34.6</v>
      </c>
      <c r="N29" s="30">
        <v>42.1</v>
      </c>
      <c r="O29" s="30">
        <v>61.5</v>
      </c>
      <c r="P29" s="30">
        <v>42.170598290598292</v>
      </c>
      <c r="Q29" s="30">
        <v>61.699316239316239</v>
      </c>
      <c r="R29" s="30">
        <v>44.502905982905979</v>
      </c>
      <c r="S29" s="30">
        <v>39.38324786324786</v>
      </c>
      <c r="T29" s="30">
        <v>30.897948717948715</v>
      </c>
      <c r="U29" s="30">
        <v>24.527179487179488</v>
      </c>
      <c r="V29" s="30">
        <v>14.856068376068377</v>
      </c>
      <c r="W29" s="30">
        <v>14.413675213675212</v>
      </c>
      <c r="X29" s="30">
        <v>14.599316239316241</v>
      </c>
      <c r="Y29" s="30">
        <v>12.185128205128207</v>
      </c>
      <c r="Z29" s="30">
        <v>6.2140170940170947</v>
      </c>
      <c r="AA29" s="30">
        <v>4.2282051282051274</v>
      </c>
    </row>
    <row r="30" spans="1:27">
      <c r="A30" s="3" t="s">
        <v>721</v>
      </c>
      <c r="B30" s="3" t="s">
        <v>722</v>
      </c>
      <c r="C30" s="3">
        <v>22</v>
      </c>
      <c r="D30" s="3" t="s">
        <v>664</v>
      </c>
      <c r="E30" s="30">
        <v>41.5</v>
      </c>
      <c r="F30" s="30">
        <v>36.4</v>
      </c>
      <c r="G30" s="30">
        <v>36.9</v>
      </c>
      <c r="H30" s="30">
        <v>44</v>
      </c>
      <c r="I30" s="30">
        <v>44</v>
      </c>
      <c r="J30" s="30">
        <v>43.2</v>
      </c>
      <c r="K30" s="30">
        <v>46.3</v>
      </c>
      <c r="L30" s="30">
        <v>44.8</v>
      </c>
      <c r="M30" s="30">
        <v>44.7</v>
      </c>
      <c r="N30" s="30">
        <v>47.6</v>
      </c>
      <c r="O30" s="30">
        <v>66.5</v>
      </c>
      <c r="P30" s="30">
        <v>47.6</v>
      </c>
      <c r="Q30" s="30">
        <v>66.5</v>
      </c>
      <c r="R30" s="30">
        <v>58.70000000000001</v>
      </c>
      <c r="S30" s="30">
        <v>58.9</v>
      </c>
      <c r="T30" s="30">
        <v>48.1</v>
      </c>
      <c r="U30" s="30">
        <v>44.2</v>
      </c>
      <c r="V30" s="30">
        <v>34.200000000000003</v>
      </c>
      <c r="W30" s="30">
        <v>26</v>
      </c>
      <c r="X30" s="30">
        <v>23.7</v>
      </c>
      <c r="Y30" s="30">
        <v>15.9</v>
      </c>
      <c r="Z30" s="30">
        <v>8.1</v>
      </c>
      <c r="AA30" s="30">
        <v>7.8</v>
      </c>
    </row>
    <row r="31" spans="1:27">
      <c r="A31" s="3" t="s">
        <v>723</v>
      </c>
      <c r="B31" s="3" t="s">
        <v>724</v>
      </c>
      <c r="C31" s="3">
        <v>23</v>
      </c>
      <c r="D31" s="3" t="s">
        <v>541</v>
      </c>
      <c r="E31" s="30">
        <v>10</v>
      </c>
      <c r="F31" s="30">
        <v>6.6</v>
      </c>
      <c r="G31" s="30">
        <v>5.8</v>
      </c>
      <c r="H31" s="30">
        <v>11.7</v>
      </c>
      <c r="I31" s="30">
        <v>14.6</v>
      </c>
      <c r="J31" s="30">
        <v>12.1</v>
      </c>
      <c r="K31" s="30">
        <v>11.7</v>
      </c>
      <c r="L31" s="30">
        <v>15.2</v>
      </c>
      <c r="M31" s="30">
        <v>16.100000000000001</v>
      </c>
      <c r="N31" s="30">
        <v>15.3</v>
      </c>
      <c r="O31" s="30">
        <v>38.299999999999997</v>
      </c>
      <c r="P31" s="30">
        <v>15.2</v>
      </c>
      <c r="Q31" s="30">
        <v>38</v>
      </c>
      <c r="R31" s="30">
        <v>24.3</v>
      </c>
      <c r="S31" s="30">
        <v>16.7</v>
      </c>
      <c r="T31" s="30">
        <v>9</v>
      </c>
      <c r="U31" s="30">
        <v>7.6</v>
      </c>
      <c r="V31" s="30">
        <v>4.8</v>
      </c>
      <c r="W31" s="30">
        <v>3.2</v>
      </c>
      <c r="X31" s="30">
        <v>4.0999999999999996</v>
      </c>
      <c r="Y31" s="30">
        <v>2.6</v>
      </c>
      <c r="Z31" s="30">
        <v>2.1</v>
      </c>
      <c r="AA31" s="30">
        <v>1.2</v>
      </c>
    </row>
    <row r="32" spans="1:27">
      <c r="A32" s="3" t="s">
        <v>725</v>
      </c>
      <c r="B32" s="3" t="s">
        <v>726</v>
      </c>
      <c r="C32" s="3">
        <v>24</v>
      </c>
      <c r="D32" s="3" t="s">
        <v>664</v>
      </c>
      <c r="E32" s="30">
        <v>38</v>
      </c>
      <c r="F32" s="30">
        <v>36.799999999999997</v>
      </c>
      <c r="G32" s="30">
        <v>40</v>
      </c>
      <c r="H32" s="30">
        <v>39.6</v>
      </c>
      <c r="I32" s="30">
        <v>41.6</v>
      </c>
      <c r="J32" s="30">
        <v>40.5</v>
      </c>
      <c r="K32" s="30">
        <v>37.9</v>
      </c>
      <c r="L32" s="30">
        <v>36.700000000000003</v>
      </c>
      <c r="M32" s="30">
        <v>39.799999999999997</v>
      </c>
      <c r="N32" s="30">
        <v>45.9</v>
      </c>
      <c r="O32" s="30">
        <v>70.8</v>
      </c>
      <c r="P32" s="30">
        <v>45.7</v>
      </c>
      <c r="Q32" s="30">
        <v>70.8</v>
      </c>
      <c r="R32" s="30">
        <v>62</v>
      </c>
      <c r="S32" s="30">
        <v>52.400000000000006</v>
      </c>
      <c r="T32" s="30">
        <v>47.8</v>
      </c>
      <c r="U32" s="30">
        <v>37.4</v>
      </c>
      <c r="V32" s="30">
        <v>29.100000000000005</v>
      </c>
      <c r="W32" s="30">
        <v>18.7</v>
      </c>
      <c r="X32" s="30">
        <v>15.6</v>
      </c>
      <c r="Y32" s="30">
        <v>10.3</v>
      </c>
      <c r="Z32" s="30">
        <v>7.2000000000000011</v>
      </c>
      <c r="AA32" s="30">
        <v>4.2</v>
      </c>
    </row>
    <row r="33" spans="1:27">
      <c r="E33" s="16"/>
      <c r="F33" s="11"/>
      <c r="G33" s="11"/>
      <c r="H33" s="11"/>
      <c r="I33" s="11"/>
      <c r="J33" s="11"/>
      <c r="K33" s="11"/>
      <c r="L33" s="11"/>
      <c r="M33" s="11"/>
      <c r="N33" s="11"/>
      <c r="O33" s="11"/>
      <c r="P33" s="11"/>
      <c r="Q33" s="11"/>
      <c r="R33" s="11"/>
      <c r="S33" s="11"/>
      <c r="T33" s="11"/>
      <c r="U33" s="11"/>
      <c r="V33" s="11"/>
      <c r="W33" s="11"/>
      <c r="X33" s="11"/>
      <c r="Y33" s="11"/>
      <c r="Z33" s="11"/>
      <c r="AA33" s="11"/>
    </row>
    <row r="34" spans="1:27">
      <c r="A34" s="3" t="s">
        <v>727</v>
      </c>
      <c r="E34" s="11"/>
      <c r="F34" s="11"/>
      <c r="G34" s="11"/>
      <c r="H34" s="11"/>
      <c r="I34" s="11"/>
      <c r="J34" s="11"/>
      <c r="K34" s="11"/>
      <c r="L34" s="11"/>
      <c r="M34" s="11"/>
      <c r="N34" s="11"/>
      <c r="O34" s="11"/>
      <c r="P34" s="11"/>
      <c r="Q34" s="11"/>
      <c r="R34" s="11"/>
      <c r="S34" s="11"/>
      <c r="T34" s="11"/>
      <c r="U34" s="11"/>
      <c r="V34" s="11"/>
      <c r="W34" s="11"/>
      <c r="X34" s="11"/>
      <c r="Y34" s="11"/>
      <c r="Z34" s="11"/>
      <c r="AA34" s="11"/>
    </row>
    <row r="35" spans="1:27" ht="187">
      <c r="A35" s="7" t="s">
        <v>728</v>
      </c>
      <c r="B35" s="7"/>
      <c r="C35" s="7"/>
      <c r="D35" s="7"/>
      <c r="E35" s="7" t="s">
        <v>1963</v>
      </c>
      <c r="F35" s="7" t="s">
        <v>98</v>
      </c>
      <c r="G35" s="7" t="s">
        <v>98</v>
      </c>
      <c r="H35" s="7" t="s">
        <v>98</v>
      </c>
      <c r="I35" s="7" t="s">
        <v>98</v>
      </c>
      <c r="J35" s="7" t="s">
        <v>98</v>
      </c>
      <c r="K35" s="7" t="s">
        <v>98</v>
      </c>
      <c r="L35" s="7" t="s">
        <v>98</v>
      </c>
      <c r="M35" s="7" t="s">
        <v>98</v>
      </c>
      <c r="N35" s="7" t="s">
        <v>98</v>
      </c>
      <c r="O35" s="7" t="s">
        <v>1963</v>
      </c>
      <c r="P35" s="1" t="s">
        <v>2888</v>
      </c>
      <c r="Q35" s="1" t="s">
        <v>2888</v>
      </c>
      <c r="R35" s="1" t="s">
        <v>2888</v>
      </c>
      <c r="S35" s="1" t="s">
        <v>2888</v>
      </c>
      <c r="T35" s="1" t="s">
        <v>2888</v>
      </c>
      <c r="U35" s="1" t="s">
        <v>2888</v>
      </c>
      <c r="V35" s="1" t="s">
        <v>2888</v>
      </c>
      <c r="W35" s="1" t="s">
        <v>2888</v>
      </c>
      <c r="X35" s="1" t="s">
        <v>2888</v>
      </c>
      <c r="Y35" s="1" t="s">
        <v>2888</v>
      </c>
      <c r="Z35" s="1" t="s">
        <v>2888</v>
      </c>
      <c r="AA35" s="1" t="s">
        <v>2888</v>
      </c>
    </row>
    <row r="36" spans="1:27" ht="319">
      <c r="A36" s="7"/>
      <c r="B36" s="7"/>
      <c r="C36" s="7"/>
      <c r="D36" s="7"/>
      <c r="E36" s="1" t="s">
        <v>68</v>
      </c>
      <c r="F36" s="1" t="s">
        <v>68</v>
      </c>
      <c r="G36" s="1" t="s">
        <v>68</v>
      </c>
      <c r="H36" s="1" t="s">
        <v>68</v>
      </c>
      <c r="I36" s="1" t="s">
        <v>68</v>
      </c>
      <c r="J36" s="1" t="s">
        <v>68</v>
      </c>
      <c r="K36" s="1" t="s">
        <v>68</v>
      </c>
      <c r="L36" s="1" t="s">
        <v>68</v>
      </c>
      <c r="M36" s="1" t="s">
        <v>68</v>
      </c>
      <c r="N36" s="1" t="s">
        <v>68</v>
      </c>
      <c r="O36" s="1" t="s">
        <v>68</v>
      </c>
      <c r="P36" s="1" t="s">
        <v>2889</v>
      </c>
      <c r="Q36" s="1" t="s">
        <v>2889</v>
      </c>
      <c r="R36" s="1" t="s">
        <v>2889</v>
      </c>
      <c r="S36" s="1" t="s">
        <v>2889</v>
      </c>
      <c r="T36" s="1" t="s">
        <v>2889</v>
      </c>
      <c r="U36" s="1" t="s">
        <v>2889</v>
      </c>
      <c r="V36" s="1" t="s">
        <v>2889</v>
      </c>
      <c r="W36" s="1" t="s">
        <v>2889</v>
      </c>
      <c r="X36" s="1" t="s">
        <v>2889</v>
      </c>
      <c r="Y36" s="1" t="s">
        <v>2889</v>
      </c>
      <c r="Z36" s="1" t="s">
        <v>2889</v>
      </c>
      <c r="AA36" s="1" t="s">
        <v>2889</v>
      </c>
    </row>
  </sheetData>
  <hyperlinks>
    <hyperlink ref="O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workbookViewId="0"/>
  </sheetViews>
  <sheetFormatPr baseColWidth="10" defaultRowHeight="13" x14ac:dyDescent="0"/>
  <cols>
    <col min="1" max="1" width="15.140625" style="3" customWidth="1"/>
    <col min="2" max="3" width="5.7109375" style="3" customWidth="1"/>
    <col min="4" max="4" width="10.7109375" style="3"/>
    <col min="31" max="56" width="10.7109375" style="6"/>
  </cols>
  <sheetData>
    <row r="1" spans="1:56">
      <c r="A1" s="137" t="s">
        <v>2404</v>
      </c>
    </row>
    <row r="2" spans="1:56">
      <c r="A2" s="1" t="s">
        <v>614</v>
      </c>
      <c r="B2" s="1"/>
      <c r="C2" s="1"/>
      <c r="D2" s="1"/>
      <c r="E2" s="1" t="s">
        <v>849</v>
      </c>
      <c r="F2" s="1" t="s">
        <v>849</v>
      </c>
      <c r="G2" s="1" t="s">
        <v>849</v>
      </c>
      <c r="H2" s="1" t="s">
        <v>849</v>
      </c>
      <c r="I2" s="1" t="s">
        <v>849</v>
      </c>
      <c r="J2" s="1" t="s">
        <v>849</v>
      </c>
      <c r="K2" s="1" t="s">
        <v>849</v>
      </c>
      <c r="L2" s="1" t="s">
        <v>849</v>
      </c>
      <c r="M2" s="1" t="s">
        <v>849</v>
      </c>
      <c r="N2" s="1" t="s">
        <v>849</v>
      </c>
      <c r="O2" s="1" t="s">
        <v>849</v>
      </c>
      <c r="P2" s="1" t="s">
        <v>849</v>
      </c>
      <c r="Q2" s="1" t="s">
        <v>849</v>
      </c>
      <c r="R2" s="1" t="s">
        <v>849</v>
      </c>
      <c r="S2" s="1" t="s">
        <v>849</v>
      </c>
      <c r="T2" s="1" t="s">
        <v>849</v>
      </c>
      <c r="U2" s="1" t="s">
        <v>849</v>
      </c>
      <c r="V2" s="1" t="s">
        <v>849</v>
      </c>
      <c r="W2" s="1" t="s">
        <v>849</v>
      </c>
      <c r="X2" s="1" t="s">
        <v>849</v>
      </c>
      <c r="Y2" s="1" t="s">
        <v>849</v>
      </c>
      <c r="Z2" s="1" t="s">
        <v>849</v>
      </c>
      <c r="AA2" s="1" t="s">
        <v>849</v>
      </c>
      <c r="AB2" s="1" t="s">
        <v>849</v>
      </c>
      <c r="AC2" s="1" t="s">
        <v>849</v>
      </c>
      <c r="AD2" s="1" t="s">
        <v>849</v>
      </c>
      <c r="AE2" s="1" t="s">
        <v>849</v>
      </c>
      <c r="AF2" s="1" t="s">
        <v>849</v>
      </c>
      <c r="AG2" s="1" t="s">
        <v>849</v>
      </c>
      <c r="AH2" s="1" t="s">
        <v>849</v>
      </c>
      <c r="AI2" s="1" t="s">
        <v>849</v>
      </c>
      <c r="AJ2" s="1" t="s">
        <v>849</v>
      </c>
      <c r="AK2" s="1" t="s">
        <v>849</v>
      </c>
      <c r="AL2" s="1" t="s">
        <v>849</v>
      </c>
      <c r="AM2" s="1" t="s">
        <v>849</v>
      </c>
      <c r="AN2" s="1" t="s">
        <v>849</v>
      </c>
      <c r="AO2" s="1" t="s">
        <v>849</v>
      </c>
      <c r="AP2" s="1" t="s">
        <v>849</v>
      </c>
      <c r="AQ2" s="1" t="s">
        <v>849</v>
      </c>
      <c r="AR2" s="1" t="s">
        <v>849</v>
      </c>
      <c r="AS2" s="1" t="s">
        <v>849</v>
      </c>
      <c r="AT2" s="1" t="s">
        <v>849</v>
      </c>
      <c r="AU2" s="1" t="s">
        <v>849</v>
      </c>
      <c r="AV2" s="1" t="s">
        <v>849</v>
      </c>
      <c r="AW2" s="1" t="s">
        <v>849</v>
      </c>
      <c r="AX2" s="1" t="s">
        <v>849</v>
      </c>
      <c r="AY2" s="1" t="s">
        <v>849</v>
      </c>
      <c r="AZ2" s="1" t="s">
        <v>849</v>
      </c>
      <c r="BA2" s="1" t="s">
        <v>849</v>
      </c>
      <c r="BB2" s="1" t="s">
        <v>849</v>
      </c>
      <c r="BC2" s="1" t="s">
        <v>849</v>
      </c>
      <c r="BD2" s="1" t="s">
        <v>849</v>
      </c>
    </row>
    <row r="3" spans="1:56">
      <c r="A3" s="1" t="s">
        <v>518</v>
      </c>
      <c r="B3" s="1"/>
      <c r="C3" s="1"/>
      <c r="D3" s="1"/>
      <c r="E3" s="1" t="s">
        <v>139</v>
      </c>
      <c r="F3" s="1" t="s">
        <v>139</v>
      </c>
      <c r="G3" s="1" t="s">
        <v>139</v>
      </c>
      <c r="H3" s="1" t="s">
        <v>139</v>
      </c>
      <c r="I3" s="1" t="s">
        <v>139</v>
      </c>
      <c r="J3" s="1" t="s">
        <v>139</v>
      </c>
      <c r="K3" s="1" t="s">
        <v>139</v>
      </c>
      <c r="L3" s="1" t="s">
        <v>139</v>
      </c>
      <c r="M3" s="1" t="s">
        <v>139</v>
      </c>
      <c r="N3" s="1" t="s">
        <v>139</v>
      </c>
      <c r="O3" s="1" t="s">
        <v>139</v>
      </c>
      <c r="P3" s="1" t="s">
        <v>139</v>
      </c>
      <c r="Q3" s="1" t="s">
        <v>139</v>
      </c>
      <c r="R3" s="1" t="s">
        <v>139</v>
      </c>
      <c r="S3" s="1" t="s">
        <v>139</v>
      </c>
      <c r="T3" s="1" t="s">
        <v>139</v>
      </c>
      <c r="U3" s="1" t="s">
        <v>139</v>
      </c>
      <c r="V3" s="1" t="s">
        <v>139</v>
      </c>
      <c r="W3" s="1" t="s">
        <v>139</v>
      </c>
      <c r="X3" s="1" t="s">
        <v>139</v>
      </c>
      <c r="Y3" s="1" t="s">
        <v>139</v>
      </c>
      <c r="Z3" s="1" t="s">
        <v>139</v>
      </c>
      <c r="AA3" s="1" t="s">
        <v>139</v>
      </c>
      <c r="AB3" s="1" t="s">
        <v>139</v>
      </c>
      <c r="AC3" s="1" t="s">
        <v>139</v>
      </c>
      <c r="AD3" s="1" t="s">
        <v>139</v>
      </c>
      <c r="AE3" s="1" t="s">
        <v>139</v>
      </c>
      <c r="AF3" s="1" t="s">
        <v>139</v>
      </c>
      <c r="AG3" s="1" t="s">
        <v>139</v>
      </c>
      <c r="AH3" s="1" t="s">
        <v>139</v>
      </c>
      <c r="AI3" s="1" t="s">
        <v>139</v>
      </c>
      <c r="AJ3" s="1" t="s">
        <v>139</v>
      </c>
      <c r="AK3" s="1" t="s">
        <v>139</v>
      </c>
      <c r="AL3" s="1" t="s">
        <v>139</v>
      </c>
      <c r="AM3" s="1" t="s">
        <v>139</v>
      </c>
      <c r="AN3" s="1" t="s">
        <v>139</v>
      </c>
      <c r="AO3" s="1" t="s">
        <v>139</v>
      </c>
      <c r="AP3" s="1" t="s">
        <v>139</v>
      </c>
      <c r="AQ3" s="1" t="s">
        <v>139</v>
      </c>
      <c r="AR3" s="1" t="s">
        <v>139</v>
      </c>
      <c r="AS3" s="1" t="s">
        <v>139</v>
      </c>
      <c r="AT3" s="1" t="s">
        <v>139</v>
      </c>
      <c r="AU3" s="1" t="s">
        <v>139</v>
      </c>
      <c r="AV3" s="1" t="s">
        <v>139</v>
      </c>
      <c r="AW3" s="1" t="s">
        <v>139</v>
      </c>
      <c r="AX3" s="1" t="s">
        <v>139</v>
      </c>
      <c r="AY3" s="1" t="s">
        <v>139</v>
      </c>
      <c r="AZ3" s="1" t="s">
        <v>139</v>
      </c>
      <c r="BA3" s="1" t="s">
        <v>139</v>
      </c>
      <c r="BB3" s="1" t="s">
        <v>139</v>
      </c>
      <c r="BC3" s="1" t="s">
        <v>139</v>
      </c>
      <c r="BD3" s="1" t="s">
        <v>139</v>
      </c>
    </row>
    <row r="4" spans="1:56">
      <c r="A4" s="1" t="s">
        <v>736</v>
      </c>
      <c r="B4" s="1"/>
      <c r="C4" s="1"/>
      <c r="D4" s="1"/>
      <c r="E4" s="1" t="s">
        <v>140</v>
      </c>
      <c r="F4" s="1" t="s">
        <v>140</v>
      </c>
      <c r="G4" s="1" t="s">
        <v>140</v>
      </c>
      <c r="H4" s="1" t="s">
        <v>140</v>
      </c>
      <c r="I4" s="1" t="s">
        <v>140</v>
      </c>
      <c r="J4" s="1" t="s">
        <v>140</v>
      </c>
      <c r="K4" s="1" t="s">
        <v>140</v>
      </c>
      <c r="L4" s="1" t="s">
        <v>140</v>
      </c>
      <c r="M4" s="1" t="s">
        <v>140</v>
      </c>
      <c r="N4" s="1" t="s">
        <v>140</v>
      </c>
      <c r="O4" s="1" t="s">
        <v>140</v>
      </c>
      <c r="P4" s="1" t="s">
        <v>140</v>
      </c>
      <c r="Q4" s="1" t="s">
        <v>140</v>
      </c>
      <c r="R4" s="1" t="s">
        <v>140</v>
      </c>
      <c r="S4" s="1" t="s">
        <v>140</v>
      </c>
      <c r="T4" s="1" t="s">
        <v>140</v>
      </c>
      <c r="U4" s="1" t="s">
        <v>140</v>
      </c>
      <c r="V4" s="1" t="s">
        <v>140</v>
      </c>
      <c r="W4" s="1" t="s">
        <v>140</v>
      </c>
      <c r="X4" s="1" t="s">
        <v>140</v>
      </c>
      <c r="Y4" s="1" t="s">
        <v>140</v>
      </c>
      <c r="Z4" s="1" t="s">
        <v>140</v>
      </c>
      <c r="AA4" s="1" t="s">
        <v>140</v>
      </c>
      <c r="AB4" s="1" t="s">
        <v>140</v>
      </c>
      <c r="AC4" s="1" t="s">
        <v>140</v>
      </c>
      <c r="AD4" s="1" t="s">
        <v>140</v>
      </c>
      <c r="AE4" s="1" t="s">
        <v>140</v>
      </c>
      <c r="AF4" s="1" t="s">
        <v>140</v>
      </c>
      <c r="AG4" s="1" t="s">
        <v>140</v>
      </c>
      <c r="AH4" s="1" t="s">
        <v>140</v>
      </c>
      <c r="AI4" s="1" t="s">
        <v>140</v>
      </c>
      <c r="AJ4" s="1" t="s">
        <v>140</v>
      </c>
      <c r="AK4" s="1" t="s">
        <v>140</v>
      </c>
      <c r="AL4" s="1" t="s">
        <v>140</v>
      </c>
      <c r="AM4" s="1" t="s">
        <v>140</v>
      </c>
      <c r="AN4" s="1" t="s">
        <v>140</v>
      </c>
      <c r="AO4" s="1" t="s">
        <v>140</v>
      </c>
      <c r="AP4" s="1" t="s">
        <v>140</v>
      </c>
      <c r="AQ4" s="1" t="s">
        <v>140</v>
      </c>
      <c r="AR4" s="1" t="s">
        <v>140</v>
      </c>
      <c r="AS4" s="1" t="s">
        <v>140</v>
      </c>
      <c r="AT4" s="1" t="s">
        <v>140</v>
      </c>
      <c r="AU4" s="1" t="s">
        <v>140</v>
      </c>
      <c r="AV4" s="1" t="s">
        <v>140</v>
      </c>
      <c r="AW4" s="1" t="s">
        <v>140</v>
      </c>
      <c r="AX4" s="1" t="s">
        <v>140</v>
      </c>
      <c r="AY4" s="1" t="s">
        <v>140</v>
      </c>
      <c r="AZ4" s="1" t="s">
        <v>140</v>
      </c>
      <c r="BA4" s="1" t="s">
        <v>140</v>
      </c>
      <c r="BB4" s="1" t="s">
        <v>140</v>
      </c>
      <c r="BC4" s="1" t="s">
        <v>140</v>
      </c>
      <c r="BD4" s="1" t="s">
        <v>140</v>
      </c>
    </row>
    <row r="5" spans="1:56">
      <c r="A5" s="1" t="s">
        <v>737</v>
      </c>
      <c r="B5" s="1"/>
      <c r="C5" s="1"/>
      <c r="D5" s="1"/>
      <c r="E5" s="1" t="s">
        <v>2144</v>
      </c>
      <c r="F5" s="1" t="s">
        <v>2144</v>
      </c>
      <c r="G5" s="1" t="s">
        <v>2144</v>
      </c>
      <c r="H5" s="1" t="s">
        <v>2144</v>
      </c>
      <c r="I5" s="1" t="s">
        <v>2144</v>
      </c>
      <c r="J5" s="1" t="s">
        <v>2144</v>
      </c>
      <c r="K5" s="1" t="s">
        <v>2144</v>
      </c>
      <c r="L5" s="1" t="s">
        <v>2144</v>
      </c>
      <c r="M5" s="1" t="s">
        <v>2144</v>
      </c>
      <c r="N5" s="1" t="s">
        <v>2144</v>
      </c>
      <c r="O5" s="1" t="s">
        <v>2144</v>
      </c>
      <c r="P5" s="1" t="s">
        <v>2144</v>
      </c>
      <c r="Q5" s="1" t="s">
        <v>2144</v>
      </c>
      <c r="R5" s="1" t="s">
        <v>2144</v>
      </c>
      <c r="S5" s="1" t="s">
        <v>2144</v>
      </c>
      <c r="T5" s="1" t="s">
        <v>2144</v>
      </c>
      <c r="U5" s="1" t="s">
        <v>2144</v>
      </c>
      <c r="V5" s="1" t="s">
        <v>2144</v>
      </c>
      <c r="W5" s="1" t="s">
        <v>2144</v>
      </c>
      <c r="X5" s="1" t="s">
        <v>2144</v>
      </c>
      <c r="Y5" s="1" t="s">
        <v>2144</v>
      </c>
      <c r="Z5" s="1" t="s">
        <v>2144</v>
      </c>
      <c r="AA5" s="1" t="s">
        <v>2144</v>
      </c>
      <c r="AB5" s="1" t="s">
        <v>2144</v>
      </c>
      <c r="AC5" s="1" t="s">
        <v>2144</v>
      </c>
      <c r="AD5" s="1" t="s">
        <v>2144</v>
      </c>
      <c r="AE5" s="1" t="s">
        <v>138</v>
      </c>
      <c r="AF5" s="1" t="s">
        <v>138</v>
      </c>
      <c r="AG5" s="1" t="s">
        <v>138</v>
      </c>
      <c r="AH5" s="1" t="s">
        <v>138</v>
      </c>
      <c r="AI5" s="1" t="s">
        <v>138</v>
      </c>
      <c r="AJ5" s="1" t="s">
        <v>138</v>
      </c>
      <c r="AK5" s="1" t="s">
        <v>138</v>
      </c>
      <c r="AL5" s="1" t="s">
        <v>138</v>
      </c>
      <c r="AM5" s="1" t="s">
        <v>138</v>
      </c>
      <c r="AN5" s="1" t="s">
        <v>138</v>
      </c>
      <c r="AO5" s="1" t="s">
        <v>138</v>
      </c>
      <c r="AP5" s="1" t="s">
        <v>138</v>
      </c>
      <c r="AQ5" s="1" t="s">
        <v>138</v>
      </c>
      <c r="AR5" s="1" t="s">
        <v>138</v>
      </c>
      <c r="AS5" s="1" t="s">
        <v>138</v>
      </c>
      <c r="AT5" s="1" t="s">
        <v>138</v>
      </c>
      <c r="AU5" s="1" t="s">
        <v>138</v>
      </c>
      <c r="AV5" s="1" t="s">
        <v>138</v>
      </c>
      <c r="AW5" s="1" t="s">
        <v>138</v>
      </c>
      <c r="AX5" s="1" t="s">
        <v>138</v>
      </c>
      <c r="AY5" s="1" t="s">
        <v>138</v>
      </c>
      <c r="AZ5" s="1" t="s">
        <v>138</v>
      </c>
      <c r="BA5" s="1" t="s">
        <v>138</v>
      </c>
      <c r="BB5" s="1" t="s">
        <v>138</v>
      </c>
      <c r="BC5" s="1" t="s">
        <v>138</v>
      </c>
      <c r="BD5" s="1" t="s">
        <v>138</v>
      </c>
    </row>
    <row r="6" spans="1:56">
      <c r="A6" s="42" t="s">
        <v>560</v>
      </c>
      <c r="B6" s="42"/>
      <c r="C6" s="42"/>
      <c r="D6" s="42"/>
      <c r="E6" s="42" t="s">
        <v>2140</v>
      </c>
      <c r="F6" s="42" t="s">
        <v>2139</v>
      </c>
      <c r="G6" s="42" t="s">
        <v>2145</v>
      </c>
      <c r="H6" s="42" t="s">
        <v>2146</v>
      </c>
      <c r="I6" s="42" t="s">
        <v>2152</v>
      </c>
      <c r="J6" s="42" t="s">
        <v>2153</v>
      </c>
      <c r="K6" s="42" t="s">
        <v>2157</v>
      </c>
      <c r="L6" s="42" t="s">
        <v>2158</v>
      </c>
      <c r="M6" s="42" t="s">
        <v>2163</v>
      </c>
      <c r="N6" s="42" t="s">
        <v>2164</v>
      </c>
      <c r="O6" s="42" t="s">
        <v>2169</v>
      </c>
      <c r="P6" s="42" t="s">
        <v>2170</v>
      </c>
      <c r="Q6" s="42" t="s">
        <v>2175</v>
      </c>
      <c r="R6" s="42" t="s">
        <v>2176</v>
      </c>
      <c r="S6" s="42" t="s">
        <v>2181</v>
      </c>
      <c r="T6" s="42" t="s">
        <v>2182</v>
      </c>
      <c r="U6" s="42" t="s">
        <v>2187</v>
      </c>
      <c r="V6" s="42" t="s">
        <v>2188</v>
      </c>
      <c r="W6" s="42" t="s">
        <v>156</v>
      </c>
      <c r="X6" s="42" t="s">
        <v>157</v>
      </c>
      <c r="Y6" s="42" t="s">
        <v>158</v>
      </c>
      <c r="Z6" s="42" t="s">
        <v>159</v>
      </c>
      <c r="AA6" s="42" t="s">
        <v>160</v>
      </c>
      <c r="AB6" s="42" t="s">
        <v>2200</v>
      </c>
      <c r="AC6" s="42" t="s">
        <v>2205</v>
      </c>
      <c r="AD6" s="42" t="s">
        <v>2206</v>
      </c>
      <c r="AE6" s="34" t="s">
        <v>156</v>
      </c>
      <c r="AF6" s="34" t="s">
        <v>157</v>
      </c>
      <c r="AG6" s="34" t="s">
        <v>158</v>
      </c>
      <c r="AH6" s="34" t="s">
        <v>159</v>
      </c>
      <c r="AI6" s="34" t="s">
        <v>160</v>
      </c>
      <c r="AJ6" s="101" t="s">
        <v>161</v>
      </c>
      <c r="AK6" s="101" t="s">
        <v>162</v>
      </c>
      <c r="AL6" s="101" t="s">
        <v>163</v>
      </c>
      <c r="AM6" s="101" t="s">
        <v>164</v>
      </c>
      <c r="AN6" s="101" t="s">
        <v>165</v>
      </c>
      <c r="AO6" s="101" t="s">
        <v>166</v>
      </c>
      <c r="AP6" s="101" t="s">
        <v>167</v>
      </c>
      <c r="AQ6" s="101" t="s">
        <v>168</v>
      </c>
      <c r="AR6" s="101" t="s">
        <v>169</v>
      </c>
      <c r="AS6" s="101" t="s">
        <v>170</v>
      </c>
      <c r="AT6" s="101" t="s">
        <v>171</v>
      </c>
      <c r="AU6" s="101" t="s">
        <v>172</v>
      </c>
      <c r="AV6" s="101" t="s">
        <v>173</v>
      </c>
      <c r="AW6" s="101" t="s">
        <v>174</v>
      </c>
      <c r="AX6" s="101" t="s">
        <v>1992</v>
      </c>
      <c r="AY6" s="101" t="s">
        <v>1993</v>
      </c>
      <c r="AZ6" s="101" t="s">
        <v>1994</v>
      </c>
      <c r="BA6" s="101" t="s">
        <v>1995</v>
      </c>
      <c r="BB6" s="101" t="s">
        <v>1996</v>
      </c>
      <c r="BC6" s="101" t="s">
        <v>1997</v>
      </c>
      <c r="BD6" s="101" t="s">
        <v>1998</v>
      </c>
    </row>
    <row r="7" spans="1:56" ht="77">
      <c r="A7" s="7" t="s">
        <v>3334</v>
      </c>
      <c r="B7" s="7"/>
      <c r="C7" s="7"/>
      <c r="D7" s="7"/>
      <c r="E7" s="7" t="s">
        <v>2141</v>
      </c>
      <c r="F7" s="7" t="s">
        <v>2142</v>
      </c>
      <c r="G7" s="7" t="s">
        <v>2147</v>
      </c>
      <c r="H7" s="7" t="s">
        <v>2148</v>
      </c>
      <c r="I7" s="7" t="s">
        <v>2154</v>
      </c>
      <c r="J7" s="7" t="s">
        <v>2155</v>
      </c>
      <c r="K7" s="7" t="s">
        <v>2159</v>
      </c>
      <c r="L7" s="7" t="s">
        <v>2160</v>
      </c>
      <c r="M7" s="7" t="s">
        <v>2165</v>
      </c>
      <c r="N7" s="7" t="s">
        <v>2166</v>
      </c>
      <c r="O7" s="7" t="s">
        <v>2171</v>
      </c>
      <c r="P7" s="7" t="s">
        <v>2172</v>
      </c>
      <c r="Q7" s="7" t="s">
        <v>2177</v>
      </c>
      <c r="R7" s="7" t="s">
        <v>2178</v>
      </c>
      <c r="S7" s="7" t="s">
        <v>2183</v>
      </c>
      <c r="T7" s="7" t="s">
        <v>2184</v>
      </c>
      <c r="U7" s="7" t="s">
        <v>2189</v>
      </c>
      <c r="V7" s="7" t="s">
        <v>2190</v>
      </c>
      <c r="W7" s="7" t="s">
        <v>2193</v>
      </c>
      <c r="X7" s="7" t="s">
        <v>2138</v>
      </c>
      <c r="Y7" s="7" t="s">
        <v>2196</v>
      </c>
      <c r="Z7" s="7" t="s">
        <v>2197</v>
      </c>
      <c r="AA7" s="7" t="s">
        <v>2201</v>
      </c>
      <c r="AB7" s="7" t="s">
        <v>2202</v>
      </c>
      <c r="AC7" s="7" t="s">
        <v>2207</v>
      </c>
      <c r="AD7" s="7" t="s">
        <v>2208</v>
      </c>
      <c r="AE7" s="1" t="s">
        <v>141</v>
      </c>
      <c r="AF7" s="1" t="s">
        <v>142</v>
      </c>
      <c r="AG7" s="1" t="s">
        <v>110</v>
      </c>
      <c r="AH7" s="1" t="s">
        <v>104</v>
      </c>
      <c r="AI7" s="1" t="s">
        <v>103</v>
      </c>
      <c r="AJ7" s="1" t="s">
        <v>105</v>
      </c>
      <c r="AK7" s="1" t="s">
        <v>106</v>
      </c>
      <c r="AL7" s="1" t="s">
        <v>132</v>
      </c>
      <c r="AM7" s="1" t="s">
        <v>133</v>
      </c>
      <c r="AN7" s="1" t="s">
        <v>134</v>
      </c>
      <c r="AO7" s="1" t="s">
        <v>135</v>
      </c>
      <c r="AP7" s="1" t="s">
        <v>136</v>
      </c>
      <c r="AQ7" s="1" t="s">
        <v>91</v>
      </c>
      <c r="AR7" s="1" t="s">
        <v>92</v>
      </c>
      <c r="AS7" s="1" t="s">
        <v>93</v>
      </c>
      <c r="AT7" s="1" t="s">
        <v>115</v>
      </c>
      <c r="AU7" s="1" t="s">
        <v>116</v>
      </c>
      <c r="AV7" s="1" t="s">
        <v>147</v>
      </c>
      <c r="AW7" s="1" t="s">
        <v>88</v>
      </c>
      <c r="AX7" s="1" t="s">
        <v>1999</v>
      </c>
      <c r="AY7" s="1" t="s">
        <v>2000</v>
      </c>
      <c r="AZ7" s="1" t="s">
        <v>2001</v>
      </c>
      <c r="BA7" s="1" t="s">
        <v>2002</v>
      </c>
      <c r="BB7" s="1" t="s">
        <v>2003</v>
      </c>
      <c r="BC7" s="1" t="s">
        <v>2004</v>
      </c>
      <c r="BD7" s="1" t="s">
        <v>2005</v>
      </c>
    </row>
    <row r="8" spans="1:56">
      <c r="A8" s="9" t="s">
        <v>572</v>
      </c>
      <c r="B8" s="9" t="s">
        <v>770</v>
      </c>
      <c r="C8" s="9" t="s">
        <v>771</v>
      </c>
      <c r="D8" s="9" t="s">
        <v>772</v>
      </c>
      <c r="E8" s="9" t="s">
        <v>2137</v>
      </c>
      <c r="F8" s="9" t="s">
        <v>2143</v>
      </c>
      <c r="G8" s="9" t="s">
        <v>2149</v>
      </c>
      <c r="H8" s="9" t="s">
        <v>2150</v>
      </c>
      <c r="I8" s="9" t="s">
        <v>2156</v>
      </c>
      <c r="J8" s="9" t="s">
        <v>2151</v>
      </c>
      <c r="K8" s="9" t="s">
        <v>2161</v>
      </c>
      <c r="L8" s="9" t="s">
        <v>2162</v>
      </c>
      <c r="M8" s="9" t="s">
        <v>2167</v>
      </c>
      <c r="N8" s="9" t="s">
        <v>2168</v>
      </c>
      <c r="O8" s="9" t="s">
        <v>2173</v>
      </c>
      <c r="P8" s="9" t="s">
        <v>2174</v>
      </c>
      <c r="Q8" s="9" t="s">
        <v>2179</v>
      </c>
      <c r="R8" s="9" t="s">
        <v>2180</v>
      </c>
      <c r="S8" s="9" t="s">
        <v>2185</v>
      </c>
      <c r="T8" s="9" t="s">
        <v>2186</v>
      </c>
      <c r="U8" s="9" t="s">
        <v>2191</v>
      </c>
      <c r="V8" s="9" t="s">
        <v>2192</v>
      </c>
      <c r="W8" s="9" t="s">
        <v>2194</v>
      </c>
      <c r="X8" s="9" t="s">
        <v>2195</v>
      </c>
      <c r="Y8" s="9" t="s">
        <v>2198</v>
      </c>
      <c r="Z8" s="9" t="s">
        <v>2199</v>
      </c>
      <c r="AA8" s="9" t="s">
        <v>2203</v>
      </c>
      <c r="AB8" s="9" t="s">
        <v>2204</v>
      </c>
      <c r="AC8" s="9" t="s">
        <v>2209</v>
      </c>
      <c r="AD8" s="9" t="s">
        <v>2210</v>
      </c>
      <c r="AE8" s="1" t="s">
        <v>175</v>
      </c>
      <c r="AF8" s="1" t="s">
        <v>176</v>
      </c>
      <c r="AG8" s="1" t="s">
        <v>177</v>
      </c>
      <c r="AH8" s="1" t="s">
        <v>178</v>
      </c>
      <c r="AI8" s="1" t="s">
        <v>179</v>
      </c>
      <c r="AJ8" s="1" t="s">
        <v>180</v>
      </c>
      <c r="AK8" s="1" t="s">
        <v>181</v>
      </c>
      <c r="AL8" s="1" t="s">
        <v>182</v>
      </c>
      <c r="AM8" s="1" t="s">
        <v>183</v>
      </c>
      <c r="AN8" s="1" t="s">
        <v>184</v>
      </c>
      <c r="AO8" s="1" t="s">
        <v>185</v>
      </c>
      <c r="AP8" s="1" t="s">
        <v>186</v>
      </c>
      <c r="AQ8" s="1" t="s">
        <v>187</v>
      </c>
      <c r="AR8" s="1" t="s">
        <v>188</v>
      </c>
      <c r="AS8" s="1" t="s">
        <v>189</v>
      </c>
      <c r="AT8" s="1" t="s">
        <v>119</v>
      </c>
      <c r="AU8" s="1" t="s">
        <v>120</v>
      </c>
      <c r="AV8" s="1" t="s">
        <v>121</v>
      </c>
      <c r="AW8" s="1" t="s">
        <v>122</v>
      </c>
      <c r="AX8" s="1" t="s">
        <v>2006</v>
      </c>
      <c r="AY8" s="1" t="s">
        <v>2007</v>
      </c>
      <c r="AZ8" s="1" t="s">
        <v>2008</v>
      </c>
      <c r="BA8" s="1" t="s">
        <v>2009</v>
      </c>
      <c r="BB8" s="1" t="s">
        <v>2010</v>
      </c>
      <c r="BC8" s="1" t="s">
        <v>2011</v>
      </c>
      <c r="BD8" s="1" t="s">
        <v>2012</v>
      </c>
    </row>
    <row r="9" spans="1:56">
      <c r="A9" s="3" t="s">
        <v>850</v>
      </c>
      <c r="B9" s="3" t="s">
        <v>851</v>
      </c>
      <c r="C9" s="3">
        <v>1</v>
      </c>
      <c r="D9" s="3" t="s">
        <v>759</v>
      </c>
      <c r="E9" s="4">
        <v>18.759600000000002</v>
      </c>
      <c r="F9" s="4">
        <v>17.648479999999999</v>
      </c>
      <c r="G9" s="4">
        <v>17.231809999999999</v>
      </c>
      <c r="H9" s="4">
        <v>16.389530000000001</v>
      </c>
      <c r="I9" s="4">
        <v>15.954010000000002</v>
      </c>
      <c r="J9" s="4">
        <v>19.027450000000002</v>
      </c>
      <c r="K9" s="4">
        <v>22.009630000000001</v>
      </c>
      <c r="L9" s="4">
        <v>24.787310000000002</v>
      </c>
      <c r="M9" s="4">
        <v>26.414729999999999</v>
      </c>
      <c r="N9" s="4">
        <v>27.4999</v>
      </c>
      <c r="O9" s="4">
        <v>25.763349999999999</v>
      </c>
      <c r="P9" s="4">
        <v>25.668170000000003</v>
      </c>
      <c r="Q9" s="4">
        <v>23.815740000000002</v>
      </c>
      <c r="R9" s="4">
        <v>25.212059999999997</v>
      </c>
      <c r="S9" s="4">
        <v>26.663600000000002</v>
      </c>
      <c r="T9" s="4">
        <v>26.634969999999999</v>
      </c>
      <c r="U9" s="4">
        <v>28.948329999999999</v>
      </c>
      <c r="V9" s="4">
        <v>28.346129999999995</v>
      </c>
      <c r="W9" s="4">
        <v>31.891590000000001</v>
      </c>
      <c r="X9" s="4">
        <v>34.576700000000002</v>
      </c>
      <c r="Y9" s="4">
        <v>48.895410000000005</v>
      </c>
      <c r="Z9" s="4">
        <v>53.302629999999994</v>
      </c>
      <c r="AA9" s="4">
        <v>51.100859999999997</v>
      </c>
      <c r="AB9" s="4">
        <v>45.077650000000006</v>
      </c>
      <c r="AC9" s="4">
        <v>41.873070000000006</v>
      </c>
      <c r="AD9" s="4">
        <v>36.921869999999998</v>
      </c>
      <c r="AE9" s="73">
        <v>37.520371804802473</v>
      </c>
      <c r="AF9" s="73">
        <v>41.094552026852575</v>
      </c>
      <c r="AG9" s="73">
        <v>56.86005680351149</v>
      </c>
      <c r="AH9" s="73">
        <v>61.689023563315828</v>
      </c>
      <c r="AI9" s="73">
        <v>58.484454992371589</v>
      </c>
      <c r="AJ9" s="73">
        <v>58.280170410534467</v>
      </c>
      <c r="AK9" s="73">
        <v>50.845985024528787</v>
      </c>
      <c r="AL9" s="73">
        <v>47.932739478440482</v>
      </c>
      <c r="AM9" s="73">
        <v>42.316636543592388</v>
      </c>
      <c r="AN9" s="73">
        <v>42.732257509252086</v>
      </c>
      <c r="AO9" s="73">
        <v>35.309863155176863</v>
      </c>
      <c r="AP9" s="73">
        <v>32.6126947241587</v>
      </c>
      <c r="AQ9" s="73">
        <v>27.723266655365318</v>
      </c>
      <c r="AR9" s="73">
        <v>23.776771105308963</v>
      </c>
      <c r="AS9" s="73">
        <v>22.471062892015595</v>
      </c>
      <c r="AT9" s="73">
        <v>18.952483471774876</v>
      </c>
      <c r="AU9" s="73">
        <v>16.974605865400918</v>
      </c>
      <c r="AV9" s="73">
        <v>13.742473300559418</v>
      </c>
      <c r="AW9" s="73">
        <v>13.780657738599762</v>
      </c>
      <c r="AX9" s="73">
        <v>12.944804204102391</v>
      </c>
      <c r="AY9" s="73">
        <v>10.305653500593323</v>
      </c>
      <c r="AZ9" s="73">
        <v>9.5410408543820999</v>
      </c>
      <c r="BA9" s="73">
        <v>7.0137819969486364</v>
      </c>
      <c r="BB9" s="73">
        <v>8.0937870825563643</v>
      </c>
      <c r="BC9" s="73">
        <v>6.4324377013053065</v>
      </c>
      <c r="BD9" s="73">
        <v>5.2606797762332613</v>
      </c>
    </row>
    <row r="10" spans="1:56">
      <c r="A10" s="3" t="s">
        <v>667</v>
      </c>
      <c r="B10" s="3" t="s">
        <v>668</v>
      </c>
      <c r="C10" s="3">
        <v>2</v>
      </c>
      <c r="D10" s="3" t="s">
        <v>759</v>
      </c>
      <c r="E10" s="4"/>
      <c r="F10" s="4"/>
      <c r="G10" s="4"/>
      <c r="H10" s="4"/>
      <c r="I10" s="4"/>
      <c r="J10" s="4"/>
      <c r="K10" s="4"/>
      <c r="L10" s="4"/>
      <c r="M10" s="4"/>
      <c r="N10" s="4"/>
      <c r="O10" s="4"/>
      <c r="P10" s="4"/>
      <c r="Q10" s="4"/>
      <c r="R10" s="4"/>
      <c r="S10" s="4"/>
      <c r="T10" s="4"/>
      <c r="U10" s="4"/>
      <c r="V10" s="4"/>
      <c r="W10" s="4"/>
      <c r="X10" s="4"/>
      <c r="Y10" s="4"/>
      <c r="Z10" s="4"/>
      <c r="AA10" s="4"/>
      <c r="AB10" s="4"/>
      <c r="AC10" s="4"/>
      <c r="AD10" s="4"/>
      <c r="AE10" s="73">
        <v>10.9</v>
      </c>
      <c r="AF10" s="73">
        <v>9.8000000000000007</v>
      </c>
      <c r="AG10" s="73">
        <v>19.8</v>
      </c>
      <c r="AH10" s="73">
        <v>21.2</v>
      </c>
      <c r="AI10" s="73">
        <v>27.699999999999996</v>
      </c>
      <c r="AJ10" s="73">
        <v>22.1</v>
      </c>
      <c r="AK10" s="73">
        <v>21.5</v>
      </c>
      <c r="AL10" s="73">
        <v>15</v>
      </c>
      <c r="AM10" s="73">
        <v>14.7</v>
      </c>
      <c r="AN10" s="73">
        <v>13.900000000000002</v>
      </c>
      <c r="AO10" s="73">
        <v>11.5</v>
      </c>
      <c r="AP10" s="73">
        <v>12.6</v>
      </c>
      <c r="AQ10" s="73">
        <v>10.1</v>
      </c>
      <c r="AR10" s="73">
        <v>11.6</v>
      </c>
      <c r="AS10" s="73">
        <v>8.4</v>
      </c>
      <c r="AT10" s="73">
        <v>7.3</v>
      </c>
      <c r="AU10" s="73">
        <v>5.3</v>
      </c>
      <c r="AV10" s="73">
        <v>7.3</v>
      </c>
      <c r="AW10" s="73">
        <v>6.1</v>
      </c>
      <c r="AX10" s="73">
        <v>3.7000000000000006</v>
      </c>
      <c r="AY10" s="73">
        <v>4.2</v>
      </c>
      <c r="AZ10" s="73">
        <v>2.1</v>
      </c>
      <c r="BA10" s="73">
        <v>2.2999999999999998</v>
      </c>
      <c r="BB10" s="73">
        <v>4</v>
      </c>
      <c r="BC10" s="73">
        <v>2.1999999999999997</v>
      </c>
      <c r="BD10" s="73">
        <v>2.4</v>
      </c>
    </row>
    <row r="11" spans="1:56">
      <c r="A11" s="3" t="s">
        <v>669</v>
      </c>
      <c r="B11" s="3" t="s">
        <v>663</v>
      </c>
      <c r="C11" s="3">
        <v>3</v>
      </c>
      <c r="D11" s="3" t="s">
        <v>664</v>
      </c>
      <c r="E11" s="4">
        <v>40.700000000000003</v>
      </c>
      <c r="F11" s="4">
        <v>33.200000000000003</v>
      </c>
      <c r="G11" s="4">
        <v>32.6</v>
      </c>
      <c r="H11" s="4">
        <v>27.8</v>
      </c>
      <c r="I11" s="4">
        <v>27.4</v>
      </c>
      <c r="J11" s="4">
        <v>32</v>
      </c>
      <c r="K11" s="4">
        <v>32.5</v>
      </c>
      <c r="L11" s="4">
        <v>36.799999999999997</v>
      </c>
      <c r="M11" s="4">
        <v>38</v>
      </c>
      <c r="N11" s="4">
        <v>40.6</v>
      </c>
      <c r="O11" s="4">
        <v>31.7</v>
      </c>
      <c r="P11" s="4">
        <v>35</v>
      </c>
      <c r="Q11" s="4">
        <v>34.5</v>
      </c>
      <c r="R11" s="4">
        <v>39.700000000000003</v>
      </c>
      <c r="S11" s="4">
        <v>33.299999999999997</v>
      </c>
      <c r="T11" s="4">
        <v>40.1</v>
      </c>
      <c r="U11" s="4">
        <v>42.7</v>
      </c>
      <c r="V11" s="4">
        <v>39.4</v>
      </c>
      <c r="W11" s="4">
        <v>40.1</v>
      </c>
      <c r="X11" s="4">
        <v>36.9</v>
      </c>
      <c r="Y11" s="4">
        <v>56</v>
      </c>
      <c r="Z11" s="4">
        <v>62.5</v>
      </c>
      <c r="AA11" s="4">
        <v>60.4</v>
      </c>
      <c r="AB11" s="4">
        <v>55.4</v>
      </c>
      <c r="AC11" s="4">
        <v>57.2</v>
      </c>
      <c r="AD11" s="4">
        <v>49.4</v>
      </c>
      <c r="AE11" s="73">
        <v>40.1</v>
      </c>
      <c r="AF11" s="73">
        <v>36.9</v>
      </c>
      <c r="AG11" s="73">
        <v>56.000000000000007</v>
      </c>
      <c r="AH11" s="73">
        <v>62.5</v>
      </c>
      <c r="AI11" s="73">
        <v>62.8</v>
      </c>
      <c r="AJ11" s="73">
        <v>60.4</v>
      </c>
      <c r="AK11" s="73">
        <v>55.399999999999991</v>
      </c>
      <c r="AL11" s="73">
        <v>57.2</v>
      </c>
      <c r="AM11" s="73">
        <v>49.4</v>
      </c>
      <c r="AN11" s="73">
        <v>52.400000000000006</v>
      </c>
      <c r="AO11" s="73">
        <v>49.8</v>
      </c>
      <c r="AP11" s="73">
        <v>48.4</v>
      </c>
      <c r="AQ11" s="73">
        <v>37.200000000000003</v>
      </c>
      <c r="AR11" s="73">
        <v>32.200000000000003</v>
      </c>
      <c r="AS11" s="73">
        <v>28.199999999999996</v>
      </c>
      <c r="AT11" s="73">
        <v>24.3</v>
      </c>
      <c r="AU11" s="73">
        <v>20.399999999999999</v>
      </c>
      <c r="AV11" s="73">
        <v>20</v>
      </c>
      <c r="AW11" s="73">
        <v>17.2</v>
      </c>
      <c r="AX11" s="73">
        <v>20.9</v>
      </c>
      <c r="AY11" s="73">
        <v>14.099999999999998</v>
      </c>
      <c r="AZ11" s="73">
        <v>12.8</v>
      </c>
      <c r="BA11" s="73">
        <v>10</v>
      </c>
      <c r="BB11" s="73">
        <v>9.6999999999999993</v>
      </c>
      <c r="BC11" s="73">
        <v>8</v>
      </c>
      <c r="BD11" s="73">
        <v>6.6000000000000005</v>
      </c>
    </row>
    <row r="12" spans="1:56">
      <c r="A12" s="3" t="s">
        <v>665</v>
      </c>
      <c r="B12" s="3" t="s">
        <v>640</v>
      </c>
      <c r="C12" s="3">
        <v>4</v>
      </c>
      <c r="D12" s="3" t="s">
        <v>641</v>
      </c>
      <c r="E12" s="4">
        <v>47.9</v>
      </c>
      <c r="F12" s="4">
        <v>46.7</v>
      </c>
      <c r="G12" s="4">
        <v>42.5</v>
      </c>
      <c r="H12" s="4">
        <v>38.9</v>
      </c>
      <c r="I12" s="4">
        <v>41.7</v>
      </c>
      <c r="J12" s="4">
        <v>43.5</v>
      </c>
      <c r="K12" s="4">
        <v>47.8</v>
      </c>
      <c r="L12" s="4">
        <v>48.1</v>
      </c>
      <c r="M12" s="4">
        <v>46.3</v>
      </c>
      <c r="N12" s="4">
        <v>49</v>
      </c>
      <c r="O12" s="4">
        <v>50.5</v>
      </c>
      <c r="P12" s="4">
        <v>51</v>
      </c>
      <c r="Q12" s="4">
        <v>50.6</v>
      </c>
      <c r="R12" s="4">
        <v>56.3</v>
      </c>
      <c r="S12" s="4">
        <v>53.2</v>
      </c>
      <c r="T12" s="4">
        <v>52</v>
      </c>
      <c r="U12" s="4">
        <v>53</v>
      </c>
      <c r="V12" s="4">
        <v>53.5</v>
      </c>
      <c r="W12" s="4">
        <v>55.1</v>
      </c>
      <c r="X12" s="4">
        <v>58</v>
      </c>
      <c r="Y12" s="4">
        <v>67.8</v>
      </c>
      <c r="Z12" s="4">
        <v>71.5</v>
      </c>
      <c r="AA12" s="4">
        <v>73.5</v>
      </c>
      <c r="AB12" s="4">
        <v>65.5</v>
      </c>
      <c r="AC12" s="4">
        <v>61</v>
      </c>
      <c r="AD12" s="4">
        <v>64.400000000000006</v>
      </c>
      <c r="AE12" s="73">
        <v>55.1</v>
      </c>
      <c r="AF12" s="73">
        <v>57.999999999999993</v>
      </c>
      <c r="AG12" s="73">
        <v>67.8</v>
      </c>
      <c r="AH12" s="73">
        <v>71.5</v>
      </c>
      <c r="AI12" s="73">
        <v>71</v>
      </c>
      <c r="AJ12" s="73">
        <v>73.5</v>
      </c>
      <c r="AK12" s="73">
        <v>65.5</v>
      </c>
      <c r="AL12" s="73">
        <v>61</v>
      </c>
      <c r="AM12" s="73">
        <v>64.400000000000006</v>
      </c>
      <c r="AN12" s="73">
        <v>60.6</v>
      </c>
      <c r="AO12" s="73">
        <v>54.2</v>
      </c>
      <c r="AP12" s="73">
        <v>55.600000000000009</v>
      </c>
      <c r="AQ12" s="73">
        <v>48.1</v>
      </c>
      <c r="AR12" s="73">
        <v>45.6</v>
      </c>
      <c r="AS12" s="73">
        <v>40</v>
      </c>
      <c r="AT12" s="73">
        <v>35.4</v>
      </c>
      <c r="AU12" s="73">
        <v>30.2</v>
      </c>
      <c r="AV12" s="73">
        <v>26.3</v>
      </c>
      <c r="AW12" s="73">
        <v>21.4</v>
      </c>
      <c r="AX12" s="73">
        <v>21.7</v>
      </c>
      <c r="AY12" s="73">
        <v>19.399999999999999</v>
      </c>
      <c r="AZ12" s="73">
        <v>18</v>
      </c>
      <c r="BA12" s="73">
        <v>14.2</v>
      </c>
      <c r="BB12" s="73">
        <v>7.5</v>
      </c>
      <c r="BC12" s="73">
        <v>5.8999999999999995</v>
      </c>
      <c r="BD12" s="73">
        <v>8.4</v>
      </c>
    </row>
    <row r="13" spans="1:56">
      <c r="A13" s="3" t="s">
        <v>539</v>
      </c>
      <c r="B13" s="3" t="s">
        <v>540</v>
      </c>
      <c r="C13" s="3">
        <v>5</v>
      </c>
      <c r="D13" s="3" t="s">
        <v>541</v>
      </c>
      <c r="E13" s="4">
        <v>16.899999999999999</v>
      </c>
      <c r="F13" s="4">
        <v>15.8</v>
      </c>
      <c r="G13" s="4">
        <v>19.899999999999999</v>
      </c>
      <c r="H13" s="4">
        <v>15.3</v>
      </c>
      <c r="I13" s="4">
        <v>16.399999999999999</v>
      </c>
      <c r="J13" s="4">
        <v>18.100000000000001</v>
      </c>
      <c r="K13" s="4">
        <v>17.399999999999999</v>
      </c>
      <c r="L13" s="4">
        <v>16.8</v>
      </c>
      <c r="M13" s="4">
        <v>19</v>
      </c>
      <c r="N13" s="4">
        <v>19.100000000000001</v>
      </c>
      <c r="O13" s="4">
        <v>19.5</v>
      </c>
      <c r="P13" s="4">
        <v>18.5</v>
      </c>
      <c r="Q13" s="4">
        <v>16.600000000000001</v>
      </c>
      <c r="R13" s="4">
        <v>20.8</v>
      </c>
      <c r="S13" s="4">
        <v>22.3</v>
      </c>
      <c r="T13" s="4">
        <v>26.6</v>
      </c>
      <c r="U13" s="4">
        <v>22.8</v>
      </c>
      <c r="V13" s="4">
        <v>26.6</v>
      </c>
      <c r="W13" s="4">
        <v>23.5</v>
      </c>
      <c r="X13" s="4">
        <v>24.2</v>
      </c>
      <c r="Y13" s="4">
        <v>37.700000000000003</v>
      </c>
      <c r="Z13" s="4">
        <v>42.2</v>
      </c>
      <c r="AA13" s="4">
        <v>41</v>
      </c>
      <c r="AB13" s="4">
        <v>30.5</v>
      </c>
      <c r="AC13" s="4">
        <v>32</v>
      </c>
      <c r="AD13" s="4">
        <v>21</v>
      </c>
      <c r="AE13" s="73">
        <v>23.5</v>
      </c>
      <c r="AF13" s="73">
        <v>24.2</v>
      </c>
      <c r="AG13" s="73">
        <v>37.700000000000003</v>
      </c>
      <c r="AH13" s="73">
        <v>46.751111111111115</v>
      </c>
      <c r="AI13" s="73">
        <v>38.696296296296296</v>
      </c>
      <c r="AJ13" s="73">
        <v>41</v>
      </c>
      <c r="AK13" s="73">
        <v>30.5</v>
      </c>
      <c r="AL13" s="73">
        <v>32</v>
      </c>
      <c r="AM13" s="73">
        <v>21</v>
      </c>
      <c r="AN13" s="73">
        <v>21.099999999999998</v>
      </c>
      <c r="AO13" s="73">
        <v>19</v>
      </c>
      <c r="AP13" s="73">
        <v>16.399999999999999</v>
      </c>
      <c r="AQ13" s="73">
        <v>15.340740740000001</v>
      </c>
      <c r="AR13" s="73">
        <v>9.3659259254000009</v>
      </c>
      <c r="AS13" s="73">
        <v>6.6807407403999992</v>
      </c>
      <c r="AT13" s="73">
        <v>6.9229629625999998</v>
      </c>
      <c r="AU13" s="73">
        <v>5.5222222219999999</v>
      </c>
      <c r="AV13" s="73">
        <v>7.5540740737999998</v>
      </c>
      <c r="AW13" s="73">
        <v>5.5533333331999994</v>
      </c>
      <c r="AX13" s="73">
        <v>5.7274074072000012</v>
      </c>
      <c r="AY13" s="73">
        <v>4.6162962961999998</v>
      </c>
      <c r="AZ13" s="73">
        <v>3.7637037036000001</v>
      </c>
      <c r="BA13" s="73">
        <v>3.3637037036000001</v>
      </c>
      <c r="BB13" s="73">
        <v>2.5118518516000004</v>
      </c>
      <c r="BC13" s="73">
        <v>3.162962963</v>
      </c>
      <c r="BD13" s="73">
        <v>2.4533333332000002</v>
      </c>
    </row>
    <row r="14" spans="1:56">
      <c r="A14" s="3" t="s">
        <v>542</v>
      </c>
      <c r="B14" s="3" t="s">
        <v>543</v>
      </c>
      <c r="C14" s="3">
        <v>6</v>
      </c>
      <c r="D14" s="3" t="s">
        <v>759</v>
      </c>
      <c r="E14" s="4">
        <v>21.5</v>
      </c>
      <c r="F14" s="4">
        <v>19</v>
      </c>
      <c r="G14" s="4">
        <v>17.8</v>
      </c>
      <c r="H14" s="4">
        <v>18.3</v>
      </c>
      <c r="I14" s="4">
        <v>16.899999999999999</v>
      </c>
      <c r="J14" s="4">
        <v>14.9</v>
      </c>
      <c r="K14" s="4">
        <v>26.3</v>
      </c>
      <c r="L14" s="4">
        <v>24.3</v>
      </c>
      <c r="M14" s="4">
        <v>27.7</v>
      </c>
      <c r="N14" s="4">
        <v>28.1</v>
      </c>
      <c r="O14" s="4">
        <v>28.6</v>
      </c>
      <c r="P14" s="4">
        <v>29.3</v>
      </c>
      <c r="Q14" s="4">
        <v>31.7</v>
      </c>
      <c r="R14" s="4">
        <v>28.3</v>
      </c>
      <c r="S14" s="4">
        <v>31.2</v>
      </c>
      <c r="T14" s="4">
        <v>28.4</v>
      </c>
      <c r="U14" s="4">
        <v>32.4</v>
      </c>
      <c r="V14" s="4">
        <v>29.7</v>
      </c>
      <c r="W14" s="4">
        <v>34</v>
      </c>
      <c r="X14" s="4">
        <v>36.200000000000003</v>
      </c>
      <c r="Y14" s="4">
        <v>55.7</v>
      </c>
      <c r="Z14" s="4">
        <v>58.5</v>
      </c>
      <c r="AA14" s="4">
        <v>54.4</v>
      </c>
      <c r="AB14" s="4">
        <v>48.4</v>
      </c>
      <c r="AC14" s="4">
        <v>48.2</v>
      </c>
      <c r="AD14" s="4">
        <v>41.8</v>
      </c>
      <c r="AE14" s="73">
        <v>33.475546975546976</v>
      </c>
      <c r="AF14" s="73">
        <v>35.581145431145437</v>
      </c>
      <c r="AG14" s="73">
        <v>55.186036036036043</v>
      </c>
      <c r="AH14" s="73">
        <v>58.007014157014154</v>
      </c>
      <c r="AI14" s="73">
        <v>54.060167310167316</v>
      </c>
      <c r="AJ14" s="73">
        <v>53.823101673101675</v>
      </c>
      <c r="AK14" s="73">
        <v>47.539897039897042</v>
      </c>
      <c r="AL14" s="73">
        <v>47.318918918918925</v>
      </c>
      <c r="AM14" s="73">
        <v>41.223101673101674</v>
      </c>
      <c r="AN14" s="73">
        <v>39.291634491634497</v>
      </c>
      <c r="AO14" s="73">
        <v>33.245495495495497</v>
      </c>
      <c r="AP14" s="73">
        <v>30.264350064350065</v>
      </c>
      <c r="AQ14" s="73">
        <v>24.439897039897041</v>
      </c>
      <c r="AR14" s="73">
        <v>21.123101673101672</v>
      </c>
      <c r="AS14" s="73">
        <v>16.774839124839126</v>
      </c>
      <c r="AT14" s="73">
        <v>14.642664092664095</v>
      </c>
      <c r="AU14" s="73">
        <v>12.269948519948521</v>
      </c>
      <c r="AV14" s="73">
        <v>11.684620334620336</v>
      </c>
      <c r="AW14" s="73">
        <v>9.711904761904762</v>
      </c>
      <c r="AX14" s="73">
        <v>9.8321750321750336</v>
      </c>
      <c r="AY14" s="73">
        <v>7.5321750321750329</v>
      </c>
      <c r="AZ14" s="73">
        <v>6.1314671814671815</v>
      </c>
      <c r="BA14" s="73">
        <v>6.6041827541827534</v>
      </c>
      <c r="BB14" s="73">
        <v>4.6063063063063066</v>
      </c>
      <c r="BC14" s="73">
        <v>5.0636422136422139</v>
      </c>
      <c r="BD14" s="73">
        <v>4.564350064350065</v>
      </c>
    </row>
    <row r="15" spans="1:56">
      <c r="A15" s="3" t="s">
        <v>628</v>
      </c>
      <c r="B15" s="3" t="s">
        <v>629</v>
      </c>
      <c r="C15" s="3">
        <v>7</v>
      </c>
      <c r="D15" s="3" t="s">
        <v>641</v>
      </c>
      <c r="E15" s="4">
        <v>43</v>
      </c>
      <c r="F15" s="4">
        <v>42.8</v>
      </c>
      <c r="G15" s="4">
        <v>43.3</v>
      </c>
      <c r="H15" s="4">
        <v>42</v>
      </c>
      <c r="I15" s="4">
        <v>40.9</v>
      </c>
      <c r="J15" s="4">
        <v>41.7</v>
      </c>
      <c r="K15" s="4">
        <v>40.200000000000003</v>
      </c>
      <c r="L15" s="4">
        <v>43.2</v>
      </c>
      <c r="M15" s="4">
        <v>50.8</v>
      </c>
      <c r="N15" s="4">
        <v>49.2</v>
      </c>
      <c r="O15" s="4">
        <v>49</v>
      </c>
      <c r="P15" s="4">
        <v>46.5</v>
      </c>
      <c r="Q15" s="4">
        <v>47</v>
      </c>
      <c r="R15" s="4">
        <v>49.3</v>
      </c>
      <c r="S15" s="4">
        <v>49.8</v>
      </c>
      <c r="T15" s="4">
        <v>50.9</v>
      </c>
      <c r="U15" s="4">
        <v>49.4</v>
      </c>
      <c r="V15" s="4">
        <v>52.4</v>
      </c>
      <c r="W15" s="4">
        <v>57.8</v>
      </c>
      <c r="X15" s="4">
        <v>58.7</v>
      </c>
      <c r="Y15" s="4">
        <v>67.2</v>
      </c>
      <c r="Z15" s="4">
        <v>74.400000000000006</v>
      </c>
      <c r="AA15" s="4">
        <v>74.900000000000006</v>
      </c>
      <c r="AB15" s="4">
        <v>68.7</v>
      </c>
      <c r="AC15" s="4">
        <v>63</v>
      </c>
      <c r="AD15" s="4">
        <v>63.9</v>
      </c>
      <c r="AE15" s="73">
        <v>57.8</v>
      </c>
      <c r="AF15" s="73">
        <v>58.70000000000001</v>
      </c>
      <c r="AG15" s="73">
        <v>67.2</v>
      </c>
      <c r="AH15" s="73">
        <v>74.400000000000006</v>
      </c>
      <c r="AI15" s="73">
        <v>73</v>
      </c>
      <c r="AJ15" s="73">
        <v>74.900000000000006</v>
      </c>
      <c r="AK15" s="73">
        <v>68.7</v>
      </c>
      <c r="AL15" s="73">
        <v>63</v>
      </c>
      <c r="AM15" s="73">
        <v>63.9</v>
      </c>
      <c r="AN15" s="73">
        <v>53.900000000000006</v>
      </c>
      <c r="AO15" s="73">
        <v>56.100000000000009</v>
      </c>
      <c r="AP15" s="73">
        <v>51.7</v>
      </c>
      <c r="AQ15" s="73">
        <v>46</v>
      </c>
      <c r="AR15" s="73">
        <v>40.200000000000003</v>
      </c>
      <c r="AS15" s="73">
        <v>38.200000000000003</v>
      </c>
      <c r="AT15" s="73">
        <v>31.5</v>
      </c>
      <c r="AU15" s="73">
        <v>27.399999999999995</v>
      </c>
      <c r="AV15" s="73">
        <v>24.9</v>
      </c>
      <c r="AW15" s="73">
        <v>25.8</v>
      </c>
      <c r="AX15" s="73">
        <v>23.5</v>
      </c>
      <c r="AY15" s="73">
        <v>19</v>
      </c>
      <c r="AZ15" s="73">
        <v>16.2</v>
      </c>
      <c r="BA15" s="73">
        <v>13.4</v>
      </c>
      <c r="BB15" s="73">
        <v>7.6</v>
      </c>
      <c r="BC15" s="73">
        <v>11.799999999999999</v>
      </c>
      <c r="BD15" s="73">
        <v>1.7999999999999998</v>
      </c>
    </row>
    <row r="16" spans="1:56">
      <c r="A16" s="3" t="s">
        <v>630</v>
      </c>
      <c r="B16" s="3" t="s">
        <v>631</v>
      </c>
      <c r="C16" s="3">
        <v>8</v>
      </c>
      <c r="D16" s="3" t="s">
        <v>759</v>
      </c>
      <c r="E16" s="4">
        <v>32.200000000000003</v>
      </c>
      <c r="F16" s="4">
        <v>26.5</v>
      </c>
      <c r="G16" s="4">
        <v>25</v>
      </c>
      <c r="H16" s="4">
        <v>25.8</v>
      </c>
      <c r="I16" s="4">
        <v>29.1</v>
      </c>
      <c r="J16" s="4">
        <v>29.9</v>
      </c>
      <c r="K16" s="4">
        <v>32.6</v>
      </c>
      <c r="L16" s="4">
        <v>30.8</v>
      </c>
      <c r="M16" s="4">
        <v>33.700000000000003</v>
      </c>
      <c r="N16" s="4">
        <v>34.9</v>
      </c>
      <c r="O16" s="4">
        <v>33.799999999999997</v>
      </c>
      <c r="P16" s="4">
        <v>35.1</v>
      </c>
      <c r="Q16" s="4">
        <v>33.4</v>
      </c>
      <c r="R16" s="4">
        <v>36.1</v>
      </c>
      <c r="S16" s="4">
        <v>33</v>
      </c>
      <c r="T16" s="4">
        <v>34.299999999999997</v>
      </c>
      <c r="U16" s="4">
        <v>33.5</v>
      </c>
      <c r="V16" s="4">
        <v>36.299999999999997</v>
      </c>
      <c r="W16" s="4">
        <v>40.299999999999997</v>
      </c>
      <c r="X16" s="4">
        <v>50.1</v>
      </c>
      <c r="Y16" s="4">
        <v>59.6</v>
      </c>
      <c r="Z16" s="4">
        <v>66.7</v>
      </c>
      <c r="AA16" s="4">
        <v>59.4</v>
      </c>
      <c r="AB16" s="4">
        <v>52.3</v>
      </c>
      <c r="AC16" s="4">
        <v>46.4</v>
      </c>
      <c r="AD16" s="4">
        <v>38.9</v>
      </c>
      <c r="AE16" s="73">
        <v>46.425471698113206</v>
      </c>
      <c r="AF16" s="73">
        <v>55.904952830188684</v>
      </c>
      <c r="AG16" s="73">
        <v>63.909198113207552</v>
      </c>
      <c r="AH16" s="73">
        <v>70.617452830188682</v>
      </c>
      <c r="AI16" s="73">
        <v>64.321462264150938</v>
      </c>
      <c r="AJ16" s="73">
        <v>66.166509433962261</v>
      </c>
      <c r="AK16" s="73">
        <v>55.718867924528311</v>
      </c>
      <c r="AL16" s="73">
        <v>55.374528301886784</v>
      </c>
      <c r="AM16" s="73">
        <v>46.414386792452831</v>
      </c>
      <c r="AN16" s="73">
        <v>44.128066037735849</v>
      </c>
      <c r="AO16" s="73">
        <v>41.472169811320754</v>
      </c>
      <c r="AP16" s="73">
        <v>35.387499999999996</v>
      </c>
      <c r="AQ16" s="73">
        <v>29.421698113207547</v>
      </c>
      <c r="AR16" s="73">
        <v>26.717452830188677</v>
      </c>
      <c r="AS16" s="73">
        <v>17.670754716981133</v>
      </c>
      <c r="AT16" s="73">
        <v>17.985849056603776</v>
      </c>
      <c r="AU16" s="73">
        <v>15.54622641509434</v>
      </c>
      <c r="AV16" s="73">
        <v>15.833962264150943</v>
      </c>
      <c r="AW16" s="73">
        <v>13.535377358490567</v>
      </c>
      <c r="AX16" s="73">
        <v>13.461320754716981</v>
      </c>
      <c r="AY16" s="73">
        <v>11.173820754716981</v>
      </c>
      <c r="AZ16" s="73">
        <v>10.727358490566038</v>
      </c>
      <c r="BA16" s="73">
        <v>6.9752358490566033</v>
      </c>
      <c r="BB16" s="73">
        <v>7.7025943396226406</v>
      </c>
      <c r="BC16" s="73">
        <v>5.3162735849056606</v>
      </c>
      <c r="BD16" s="73">
        <v>5.9931603773584907</v>
      </c>
    </row>
    <row r="17" spans="1:56">
      <c r="A17" s="3" t="s">
        <v>632</v>
      </c>
      <c r="B17" s="3" t="s">
        <v>633</v>
      </c>
      <c r="C17" s="3">
        <v>9</v>
      </c>
      <c r="D17" s="3" t="s">
        <v>641</v>
      </c>
      <c r="E17" s="4">
        <v>42.8</v>
      </c>
      <c r="F17" s="4">
        <v>45.4</v>
      </c>
      <c r="G17" s="4">
        <v>47.4</v>
      </c>
      <c r="H17" s="4">
        <v>45.6</v>
      </c>
      <c r="I17" s="4">
        <v>46.1</v>
      </c>
      <c r="J17" s="4">
        <v>42.7</v>
      </c>
      <c r="K17" s="4">
        <v>45.8</v>
      </c>
      <c r="L17" s="4">
        <v>46.8</v>
      </c>
      <c r="M17" s="4">
        <v>46.1</v>
      </c>
      <c r="N17" s="4">
        <v>54.1</v>
      </c>
      <c r="O17" s="4">
        <v>52.8</v>
      </c>
      <c r="P17" s="4">
        <v>51.8</v>
      </c>
      <c r="Q17" s="4">
        <v>51.8</v>
      </c>
      <c r="R17" s="4">
        <v>50.1</v>
      </c>
      <c r="S17" s="4">
        <v>53</v>
      </c>
      <c r="T17" s="4">
        <v>56.2</v>
      </c>
      <c r="U17" s="4">
        <v>63.3</v>
      </c>
      <c r="V17" s="4">
        <v>59.3</v>
      </c>
      <c r="W17" s="4">
        <v>59.8</v>
      </c>
      <c r="X17" s="4">
        <v>58.1</v>
      </c>
      <c r="Y17" s="4">
        <v>78.3</v>
      </c>
      <c r="Z17" s="4">
        <v>68.7</v>
      </c>
      <c r="AA17" s="4">
        <v>73.900000000000006</v>
      </c>
      <c r="AB17" s="4">
        <v>60.4</v>
      </c>
      <c r="AC17" s="4">
        <v>60.7</v>
      </c>
      <c r="AD17" s="4">
        <v>53.8</v>
      </c>
      <c r="AE17" s="73">
        <v>59.8</v>
      </c>
      <c r="AF17" s="73">
        <v>58.099999999999994</v>
      </c>
      <c r="AG17" s="73">
        <v>78.3</v>
      </c>
      <c r="AH17" s="73">
        <v>68.7</v>
      </c>
      <c r="AI17" s="73">
        <v>67.3</v>
      </c>
      <c r="AJ17" s="73">
        <v>73.900000000000006</v>
      </c>
      <c r="AK17" s="73">
        <v>60.4</v>
      </c>
      <c r="AL17" s="73">
        <v>60.699999999999996</v>
      </c>
      <c r="AM17" s="73">
        <v>53.800000000000004</v>
      </c>
      <c r="AN17" s="73">
        <v>53.1</v>
      </c>
      <c r="AO17" s="73">
        <v>51.6</v>
      </c>
      <c r="AP17" s="73">
        <v>48.1</v>
      </c>
      <c r="AQ17" s="73">
        <v>43.7</v>
      </c>
      <c r="AR17" s="73">
        <v>39.5</v>
      </c>
      <c r="AS17" s="73">
        <v>34.5</v>
      </c>
      <c r="AT17" s="73">
        <v>30.7</v>
      </c>
      <c r="AU17" s="73">
        <v>23.4</v>
      </c>
      <c r="AV17" s="73">
        <v>24.8</v>
      </c>
      <c r="AW17" s="73">
        <v>23.1</v>
      </c>
      <c r="AX17" s="73">
        <v>20.100000000000001</v>
      </c>
      <c r="AY17" s="73">
        <v>13.600000000000001</v>
      </c>
      <c r="AZ17" s="73">
        <v>10.5</v>
      </c>
      <c r="BA17" s="73">
        <v>7.7</v>
      </c>
      <c r="BB17" s="73">
        <v>8.4</v>
      </c>
      <c r="BC17" s="73">
        <v>6.4</v>
      </c>
      <c r="BD17" s="73">
        <v>7.1</v>
      </c>
    </row>
    <row r="18" spans="1:56">
      <c r="A18" s="3" t="s">
        <v>634</v>
      </c>
      <c r="B18" s="3" t="s">
        <v>715</v>
      </c>
      <c r="C18" s="3">
        <v>10</v>
      </c>
      <c r="D18" s="3" t="s">
        <v>664</v>
      </c>
      <c r="E18" s="4">
        <v>44.8</v>
      </c>
      <c r="F18" s="4">
        <v>45.1</v>
      </c>
      <c r="G18" s="4">
        <v>44.2</v>
      </c>
      <c r="H18" s="4">
        <v>44.4</v>
      </c>
      <c r="I18" s="4">
        <v>41.7</v>
      </c>
      <c r="J18" s="4">
        <v>41.7</v>
      </c>
      <c r="K18" s="4">
        <v>45.6</v>
      </c>
      <c r="L18" s="4">
        <v>52.9</v>
      </c>
      <c r="M18" s="4">
        <v>52.8</v>
      </c>
      <c r="N18" s="4">
        <v>54.2</v>
      </c>
      <c r="O18" s="4">
        <v>55.1</v>
      </c>
      <c r="P18" s="4">
        <v>55.4</v>
      </c>
      <c r="Q18" s="4">
        <v>53.4</v>
      </c>
      <c r="R18" s="4">
        <v>58</v>
      </c>
      <c r="S18" s="4">
        <v>56</v>
      </c>
      <c r="T18" s="4">
        <v>53.9</v>
      </c>
      <c r="U18" s="4">
        <v>52.8</v>
      </c>
      <c r="V18" s="4">
        <v>50.4</v>
      </c>
      <c r="W18" s="4">
        <v>56.6</v>
      </c>
      <c r="X18" s="4">
        <v>57.3</v>
      </c>
      <c r="Y18" s="4">
        <v>68.099999999999994</v>
      </c>
      <c r="Z18" s="4">
        <v>73.099999999999994</v>
      </c>
      <c r="AA18" s="4">
        <v>68.599999999999994</v>
      </c>
      <c r="AB18" s="4">
        <v>62.6</v>
      </c>
      <c r="AC18" s="4">
        <v>64.8</v>
      </c>
      <c r="AD18" s="4">
        <v>59.5</v>
      </c>
      <c r="AE18" s="73">
        <v>56.600000000000009</v>
      </c>
      <c r="AF18" s="73">
        <v>57.3</v>
      </c>
      <c r="AG18" s="73">
        <v>68.099999999999994</v>
      </c>
      <c r="AH18" s="73">
        <v>73.099999999999994</v>
      </c>
      <c r="AI18" s="73">
        <v>68.2</v>
      </c>
      <c r="AJ18" s="73">
        <v>68.599999999999994</v>
      </c>
      <c r="AK18" s="73">
        <v>62.6</v>
      </c>
      <c r="AL18" s="73">
        <v>64.8</v>
      </c>
      <c r="AM18" s="73">
        <v>59.5</v>
      </c>
      <c r="AN18" s="73">
        <v>58.3</v>
      </c>
      <c r="AO18" s="73">
        <v>51.2</v>
      </c>
      <c r="AP18" s="73">
        <v>48.9</v>
      </c>
      <c r="AQ18" s="73">
        <v>40</v>
      </c>
      <c r="AR18" s="73">
        <v>40.4</v>
      </c>
      <c r="AS18" s="73">
        <v>31.7</v>
      </c>
      <c r="AT18" s="73">
        <v>30</v>
      </c>
      <c r="AU18" s="73">
        <v>20.399999999999999</v>
      </c>
      <c r="AV18" s="73">
        <v>17.100000000000001</v>
      </c>
      <c r="AW18" s="73">
        <v>17.3</v>
      </c>
      <c r="AX18" s="73">
        <v>14.000000000000002</v>
      </c>
      <c r="AY18" s="73">
        <v>9.6</v>
      </c>
      <c r="AZ18" s="73">
        <v>8.1</v>
      </c>
      <c r="BA18" s="73">
        <v>8</v>
      </c>
      <c r="BB18" s="73">
        <v>4.0999999999999996</v>
      </c>
      <c r="BC18" s="73">
        <v>4.8</v>
      </c>
      <c r="BD18" s="73">
        <v>5.2</v>
      </c>
    </row>
    <row r="19" spans="1:56">
      <c r="A19" s="3" t="s">
        <v>716</v>
      </c>
      <c r="B19" s="3" t="s">
        <v>717</v>
      </c>
      <c r="C19" s="3">
        <v>11</v>
      </c>
      <c r="D19" s="3" t="s">
        <v>541</v>
      </c>
      <c r="E19" s="4">
        <v>19.2</v>
      </c>
      <c r="F19" s="4">
        <v>18.3</v>
      </c>
      <c r="G19" s="4">
        <v>19.7</v>
      </c>
      <c r="H19" s="4">
        <v>18.600000000000001</v>
      </c>
      <c r="I19" s="4">
        <v>17.399999999999999</v>
      </c>
      <c r="J19" s="4">
        <v>21</v>
      </c>
      <c r="K19" s="4">
        <v>20.2</v>
      </c>
      <c r="L19" s="4">
        <v>26</v>
      </c>
      <c r="M19" s="4">
        <v>24.4</v>
      </c>
      <c r="N19" s="4">
        <v>25.2</v>
      </c>
      <c r="O19" s="4">
        <v>27.3</v>
      </c>
      <c r="P19" s="4">
        <v>28.5</v>
      </c>
      <c r="Q19" s="4">
        <v>25.6</v>
      </c>
      <c r="R19" s="4">
        <v>28.6</v>
      </c>
      <c r="S19" s="4">
        <v>26.5</v>
      </c>
      <c r="T19" s="4">
        <v>29.1</v>
      </c>
      <c r="U19" s="4">
        <v>25.5</v>
      </c>
      <c r="V19" s="4">
        <v>30.5</v>
      </c>
      <c r="W19" s="4">
        <v>33</v>
      </c>
      <c r="X19" s="4">
        <v>33.700000000000003</v>
      </c>
      <c r="Y19" s="4">
        <v>49.8</v>
      </c>
      <c r="Z19" s="4">
        <v>49.5</v>
      </c>
      <c r="AA19" s="4">
        <v>46.2</v>
      </c>
      <c r="AB19" s="4">
        <v>40.9</v>
      </c>
      <c r="AC19" s="4">
        <v>36.200000000000003</v>
      </c>
      <c r="AD19" s="4">
        <v>30.7</v>
      </c>
      <c r="AE19" s="73">
        <v>33</v>
      </c>
      <c r="AF19" s="73">
        <v>33.700000000000003</v>
      </c>
      <c r="AG19" s="73">
        <v>49.8</v>
      </c>
      <c r="AH19" s="73">
        <v>49.5</v>
      </c>
      <c r="AI19" s="73">
        <v>46.1</v>
      </c>
      <c r="AJ19" s="73">
        <v>46.2</v>
      </c>
      <c r="AK19" s="73">
        <v>40.9</v>
      </c>
      <c r="AL19" s="73">
        <v>36.200000000000003</v>
      </c>
      <c r="AM19" s="73">
        <v>30.7</v>
      </c>
      <c r="AN19" s="73">
        <v>30.099999999999998</v>
      </c>
      <c r="AO19" s="73">
        <v>27.800000000000004</v>
      </c>
      <c r="AP19" s="73">
        <v>27</v>
      </c>
      <c r="AQ19" s="73">
        <v>24.5</v>
      </c>
      <c r="AR19" s="73">
        <v>17</v>
      </c>
      <c r="AS19" s="73">
        <v>12.3</v>
      </c>
      <c r="AT19" s="73">
        <v>13.600000000000001</v>
      </c>
      <c r="AU19" s="73">
        <v>7.5</v>
      </c>
      <c r="AV19" s="73">
        <v>9.4</v>
      </c>
      <c r="AW19" s="73">
        <v>4.4000000000000004</v>
      </c>
      <c r="AX19" s="73">
        <v>4.5</v>
      </c>
      <c r="AY19" s="73">
        <v>6.5</v>
      </c>
      <c r="AZ19" s="73">
        <v>7.2000000000000011</v>
      </c>
      <c r="BA19" s="73">
        <v>3.5000000000000004</v>
      </c>
      <c r="BB19" s="73">
        <v>3.9</v>
      </c>
      <c r="BC19" s="73">
        <v>1.5</v>
      </c>
      <c r="BD19" s="73">
        <v>1.0999999999999999</v>
      </c>
    </row>
    <row r="20" spans="1:56">
      <c r="A20" s="3" t="s">
        <v>718</v>
      </c>
      <c r="B20" s="3" t="s">
        <v>719</v>
      </c>
      <c r="C20" s="3">
        <v>12</v>
      </c>
      <c r="D20" s="3" t="s">
        <v>664</v>
      </c>
      <c r="E20" s="4">
        <v>29.6</v>
      </c>
      <c r="F20" s="4">
        <v>28.8</v>
      </c>
      <c r="G20" s="4">
        <v>30.6</v>
      </c>
      <c r="H20" s="4">
        <v>29.6</v>
      </c>
      <c r="I20" s="4">
        <v>13.3</v>
      </c>
      <c r="J20" s="4">
        <v>30.1</v>
      </c>
      <c r="K20" s="4">
        <v>33.6</v>
      </c>
      <c r="L20" s="4">
        <v>33.700000000000003</v>
      </c>
      <c r="M20" s="4">
        <v>34.1</v>
      </c>
      <c r="N20" s="4">
        <v>35.1</v>
      </c>
      <c r="O20" s="4">
        <v>31.7</v>
      </c>
      <c r="P20" s="4">
        <v>31.8</v>
      </c>
      <c r="Q20" s="4">
        <v>30.6</v>
      </c>
      <c r="R20" s="4">
        <v>36.700000000000003</v>
      </c>
      <c r="S20" s="4">
        <v>33.4</v>
      </c>
      <c r="T20" s="4">
        <v>29.7</v>
      </c>
      <c r="U20" s="4">
        <v>32.6</v>
      </c>
      <c r="V20" s="4">
        <v>39.6</v>
      </c>
      <c r="W20" s="4">
        <v>40.799999999999997</v>
      </c>
      <c r="X20" s="4">
        <v>44.5</v>
      </c>
      <c r="Y20" s="4">
        <v>61.5</v>
      </c>
      <c r="Z20" s="4">
        <v>66.2</v>
      </c>
      <c r="AA20" s="4">
        <v>52.2</v>
      </c>
      <c r="AB20" s="4">
        <v>51.5</v>
      </c>
      <c r="AC20" s="4">
        <v>41.8</v>
      </c>
      <c r="AD20" s="4">
        <v>44.2</v>
      </c>
      <c r="AE20" s="73">
        <v>40.799999999999997</v>
      </c>
      <c r="AF20" s="73">
        <v>44.5</v>
      </c>
      <c r="AG20" s="73">
        <v>61.5</v>
      </c>
      <c r="AH20" s="73">
        <v>66.2</v>
      </c>
      <c r="AI20" s="73">
        <v>60.4</v>
      </c>
      <c r="AJ20" s="73">
        <v>52.2</v>
      </c>
      <c r="AK20" s="73">
        <v>51.5</v>
      </c>
      <c r="AL20" s="73">
        <v>41.8</v>
      </c>
      <c r="AM20" s="73">
        <v>44.2</v>
      </c>
      <c r="AN20" s="73">
        <v>35.6</v>
      </c>
      <c r="AO20" s="73">
        <v>37.5</v>
      </c>
      <c r="AP20" s="73">
        <v>28.000000000000004</v>
      </c>
      <c r="AQ20" s="73">
        <v>29.9</v>
      </c>
      <c r="AR20" s="73">
        <v>27.699999999999996</v>
      </c>
      <c r="AS20" s="73">
        <v>22</v>
      </c>
      <c r="AT20" s="73">
        <v>18.2</v>
      </c>
      <c r="AU20" s="73">
        <v>17.2</v>
      </c>
      <c r="AV20" s="73">
        <v>17.399999999999999</v>
      </c>
      <c r="AW20" s="73">
        <v>14.2</v>
      </c>
      <c r="AX20" s="73">
        <v>15.1</v>
      </c>
      <c r="AY20" s="73">
        <v>9.6999999999999993</v>
      </c>
      <c r="AZ20" s="73">
        <v>12</v>
      </c>
      <c r="BA20" s="73">
        <v>4.4000000000000004</v>
      </c>
      <c r="BB20" s="73">
        <v>2.7</v>
      </c>
      <c r="BC20" s="73">
        <v>2.5</v>
      </c>
      <c r="BD20" s="73">
        <v>2.1999999999999997</v>
      </c>
    </row>
    <row r="21" spans="1:56">
      <c r="A21" s="3" t="s">
        <v>711</v>
      </c>
      <c r="B21" s="3" t="s">
        <v>712</v>
      </c>
      <c r="C21" s="3">
        <v>13</v>
      </c>
      <c r="D21" s="3" t="s">
        <v>713</v>
      </c>
      <c r="E21" s="4">
        <v>25.4</v>
      </c>
      <c r="F21" s="4">
        <v>19.3</v>
      </c>
      <c r="G21" s="4">
        <v>21.8</v>
      </c>
      <c r="H21" s="4">
        <v>19.8</v>
      </c>
      <c r="I21" s="4">
        <v>18</v>
      </c>
      <c r="J21" s="4">
        <v>20.2</v>
      </c>
      <c r="K21" s="4">
        <v>27.2</v>
      </c>
      <c r="L21" s="4">
        <v>33.5</v>
      </c>
      <c r="M21" s="4">
        <v>27.7</v>
      </c>
      <c r="N21" s="4">
        <v>32.299999999999997</v>
      </c>
      <c r="O21" s="4">
        <v>35.299999999999997</v>
      </c>
      <c r="P21" s="4">
        <v>29.1</v>
      </c>
      <c r="Q21" s="4">
        <v>30.9</v>
      </c>
      <c r="R21" s="4">
        <v>31.1</v>
      </c>
      <c r="S21" s="4">
        <v>33.799999999999997</v>
      </c>
      <c r="T21" s="4">
        <v>33</v>
      </c>
      <c r="U21" s="4">
        <v>34.9</v>
      </c>
      <c r="V21" s="4">
        <v>37.700000000000003</v>
      </c>
      <c r="W21" s="4">
        <v>36.700000000000003</v>
      </c>
      <c r="X21" s="4">
        <v>36.700000000000003</v>
      </c>
      <c r="Y21" s="4">
        <v>50.5</v>
      </c>
      <c r="Z21" s="4">
        <v>58.4</v>
      </c>
      <c r="AA21" s="4">
        <v>54</v>
      </c>
      <c r="AB21" s="4">
        <v>51.4</v>
      </c>
      <c r="AC21" s="4">
        <v>40</v>
      </c>
      <c r="AD21" s="4">
        <v>39.700000000000003</v>
      </c>
      <c r="AE21" s="73">
        <v>36.700000000000003</v>
      </c>
      <c r="AF21" s="73">
        <v>36.700000000000003</v>
      </c>
      <c r="AG21" s="73">
        <v>50.5</v>
      </c>
      <c r="AH21" s="73">
        <v>58.4</v>
      </c>
      <c r="AI21" s="73">
        <v>56.100000000000009</v>
      </c>
      <c r="AJ21" s="73">
        <v>54</v>
      </c>
      <c r="AK21" s="73">
        <v>51.4</v>
      </c>
      <c r="AL21" s="73">
        <v>40</v>
      </c>
      <c r="AM21" s="73">
        <v>39.700000000000003</v>
      </c>
      <c r="AN21" s="73">
        <v>34.1</v>
      </c>
      <c r="AO21" s="73">
        <v>33.800000000000004</v>
      </c>
      <c r="AP21" s="73">
        <v>26.200000000000003</v>
      </c>
      <c r="AQ21" s="73">
        <v>20.3</v>
      </c>
      <c r="AR21" s="73">
        <v>18.3</v>
      </c>
      <c r="AS21" s="73">
        <v>10.5</v>
      </c>
      <c r="AT21" s="73">
        <v>12.2</v>
      </c>
      <c r="AU21" s="73">
        <v>8.3000000000000007</v>
      </c>
      <c r="AV21" s="73">
        <v>9.1999999999999993</v>
      </c>
      <c r="AW21" s="73">
        <v>11.3</v>
      </c>
      <c r="AX21" s="73">
        <v>7.6</v>
      </c>
      <c r="AY21" s="73">
        <v>7.0000000000000009</v>
      </c>
      <c r="AZ21" s="73">
        <v>3.6000000000000005</v>
      </c>
      <c r="BA21" s="73">
        <v>3.9</v>
      </c>
      <c r="BB21" s="73">
        <v>2.1</v>
      </c>
      <c r="BC21" s="73">
        <v>3.5000000000000004</v>
      </c>
      <c r="BD21" s="73">
        <v>1.7000000000000002</v>
      </c>
    </row>
    <row r="22" spans="1:56">
      <c r="A22" s="3" t="s">
        <v>714</v>
      </c>
      <c r="B22" s="3" t="s">
        <v>530</v>
      </c>
      <c r="C22" s="3">
        <v>14</v>
      </c>
      <c r="D22" s="3" t="s">
        <v>641</v>
      </c>
      <c r="E22" s="4">
        <v>39</v>
      </c>
      <c r="F22" s="4">
        <v>36</v>
      </c>
      <c r="G22" s="4">
        <v>30.8</v>
      </c>
      <c r="H22" s="4">
        <v>30</v>
      </c>
      <c r="I22" s="4">
        <v>31.3</v>
      </c>
      <c r="J22" s="4">
        <v>35.6</v>
      </c>
      <c r="K22" s="4">
        <v>41.4</v>
      </c>
      <c r="L22" s="4">
        <v>43</v>
      </c>
      <c r="M22" s="4">
        <v>41.1</v>
      </c>
      <c r="N22" s="4">
        <v>44.6</v>
      </c>
      <c r="O22" s="4">
        <v>43.4</v>
      </c>
      <c r="P22" s="4">
        <v>44.8</v>
      </c>
      <c r="Q22" s="4">
        <v>45.2</v>
      </c>
      <c r="R22" s="4">
        <v>44.2</v>
      </c>
      <c r="S22" s="4">
        <v>45</v>
      </c>
      <c r="T22" s="4">
        <v>44.9</v>
      </c>
      <c r="U22" s="4">
        <v>50.7</v>
      </c>
      <c r="V22" s="4">
        <v>49.5</v>
      </c>
      <c r="W22" s="4">
        <v>54.7</v>
      </c>
      <c r="X22" s="4">
        <v>53.8</v>
      </c>
      <c r="Y22" s="4">
        <v>69.099999999999994</v>
      </c>
      <c r="Z22" s="4">
        <v>69.900000000000006</v>
      </c>
      <c r="AA22" s="4">
        <v>71.099999999999994</v>
      </c>
      <c r="AB22" s="4">
        <v>61.2</v>
      </c>
      <c r="AC22" s="4">
        <v>55.5</v>
      </c>
      <c r="AD22" s="4">
        <v>51.3</v>
      </c>
      <c r="AE22" s="73">
        <v>54.7</v>
      </c>
      <c r="AF22" s="73">
        <v>53.79999999999999</v>
      </c>
      <c r="AG22" s="73">
        <v>69.099999999999994</v>
      </c>
      <c r="AH22" s="73">
        <v>69.900000000000006</v>
      </c>
      <c r="AI22" s="73">
        <v>67.8</v>
      </c>
      <c r="AJ22" s="73">
        <v>71.099999999999994</v>
      </c>
      <c r="AK22" s="73">
        <v>61.199999999999996</v>
      </c>
      <c r="AL22" s="73">
        <v>55.500000000000007</v>
      </c>
      <c r="AM22" s="73">
        <v>51.300000000000004</v>
      </c>
      <c r="AN22" s="73">
        <v>56.8</v>
      </c>
      <c r="AO22" s="73">
        <v>53</v>
      </c>
      <c r="AP22" s="73">
        <v>47.4</v>
      </c>
      <c r="AQ22" s="73">
        <v>43.6</v>
      </c>
      <c r="AR22" s="73">
        <v>37.1</v>
      </c>
      <c r="AS22" s="73">
        <v>33.700000000000003</v>
      </c>
      <c r="AT22" s="73">
        <v>32.6</v>
      </c>
      <c r="AU22" s="73">
        <v>32.5</v>
      </c>
      <c r="AV22" s="73">
        <v>25.900000000000002</v>
      </c>
      <c r="AW22" s="73">
        <v>23.9</v>
      </c>
      <c r="AX22" s="73">
        <v>21.3</v>
      </c>
      <c r="AY22" s="73">
        <v>20.7</v>
      </c>
      <c r="AZ22" s="73">
        <v>10.9</v>
      </c>
      <c r="BA22" s="73">
        <v>12.5</v>
      </c>
      <c r="BB22" s="73">
        <v>8.3000000000000007</v>
      </c>
      <c r="BC22" s="73">
        <v>8.2000000000000011</v>
      </c>
      <c r="BD22" s="73">
        <v>9.7000000000000011</v>
      </c>
    </row>
    <row r="23" spans="1:56">
      <c r="A23" s="3" t="s">
        <v>620</v>
      </c>
      <c r="B23" s="3" t="s">
        <v>621</v>
      </c>
      <c r="C23" s="3">
        <v>15</v>
      </c>
      <c r="D23" s="3" t="s">
        <v>541</v>
      </c>
      <c r="E23" s="4">
        <v>23.5</v>
      </c>
      <c r="F23" s="4">
        <v>23.8</v>
      </c>
      <c r="G23" s="4">
        <v>22.9</v>
      </c>
      <c r="H23" s="4">
        <v>18</v>
      </c>
      <c r="I23" s="4">
        <v>21.6</v>
      </c>
      <c r="J23" s="4">
        <v>25.2</v>
      </c>
      <c r="K23" s="4">
        <v>27.2</v>
      </c>
      <c r="L23" s="4">
        <v>31.6</v>
      </c>
      <c r="M23" s="4">
        <v>29.3</v>
      </c>
      <c r="N23" s="4">
        <v>30.6</v>
      </c>
      <c r="O23" s="4">
        <v>30.6</v>
      </c>
      <c r="P23" s="4">
        <v>30</v>
      </c>
      <c r="Q23" s="4">
        <v>29.5</v>
      </c>
      <c r="R23" s="4">
        <v>29.7</v>
      </c>
      <c r="S23" s="4">
        <v>29.4</v>
      </c>
      <c r="T23" s="4">
        <v>30.4</v>
      </c>
      <c r="U23" s="4">
        <v>31.6</v>
      </c>
      <c r="V23" s="4">
        <v>30.3</v>
      </c>
      <c r="W23" s="4">
        <v>31.3</v>
      </c>
      <c r="X23" s="4">
        <v>29.9</v>
      </c>
      <c r="Y23" s="4">
        <v>47.6</v>
      </c>
      <c r="Z23" s="4">
        <v>50.7</v>
      </c>
      <c r="AA23" s="4">
        <v>45.5</v>
      </c>
      <c r="AB23" s="4">
        <v>44.9</v>
      </c>
      <c r="AC23" s="4">
        <v>38.1</v>
      </c>
      <c r="AD23" s="4">
        <v>33.4</v>
      </c>
      <c r="AE23" s="73">
        <v>31.3</v>
      </c>
      <c r="AF23" s="73">
        <v>29.9</v>
      </c>
      <c r="AG23" s="73">
        <v>47.6</v>
      </c>
      <c r="AH23" s="73">
        <v>50.7</v>
      </c>
      <c r="AI23" s="73">
        <v>46.5</v>
      </c>
      <c r="AJ23" s="73">
        <v>45.5</v>
      </c>
      <c r="AK23" s="73">
        <v>44.9</v>
      </c>
      <c r="AL23" s="73">
        <v>38.1</v>
      </c>
      <c r="AM23" s="73">
        <v>33.4</v>
      </c>
      <c r="AN23" s="73">
        <v>39.1</v>
      </c>
      <c r="AO23" s="73">
        <v>32.700000000000003</v>
      </c>
      <c r="AP23" s="73">
        <v>30.2</v>
      </c>
      <c r="AQ23" s="73">
        <v>20.5</v>
      </c>
      <c r="AR23" s="73">
        <v>20.7</v>
      </c>
      <c r="AS23" s="73">
        <v>15</v>
      </c>
      <c r="AT23" s="73">
        <v>11.2</v>
      </c>
      <c r="AU23" s="73">
        <v>12.7</v>
      </c>
      <c r="AV23" s="73">
        <v>13.900000000000002</v>
      </c>
      <c r="AW23" s="73">
        <v>8.1</v>
      </c>
      <c r="AX23" s="73">
        <v>14.099999999999998</v>
      </c>
      <c r="AY23" s="73">
        <v>9.1</v>
      </c>
      <c r="AZ23" s="73">
        <v>9.3000000000000007</v>
      </c>
      <c r="BA23" s="73">
        <v>5.5</v>
      </c>
      <c r="BB23" s="73">
        <v>4</v>
      </c>
      <c r="BC23" s="73">
        <v>7.8</v>
      </c>
      <c r="BD23" s="73">
        <v>5.4</v>
      </c>
    </row>
    <row r="24" spans="1:56">
      <c r="A24" s="3" t="s">
        <v>622</v>
      </c>
      <c r="B24" s="3" t="s">
        <v>925</v>
      </c>
      <c r="C24" s="3">
        <v>16</v>
      </c>
      <c r="D24" s="3" t="s">
        <v>541</v>
      </c>
      <c r="E24" s="4"/>
      <c r="F24" s="4"/>
      <c r="G24" s="4"/>
      <c r="H24" s="4"/>
      <c r="I24" s="4"/>
      <c r="J24" s="4"/>
      <c r="K24" s="4"/>
      <c r="L24" s="4"/>
      <c r="M24" s="4"/>
      <c r="N24" s="4"/>
      <c r="O24" s="4"/>
      <c r="P24" s="4"/>
      <c r="Q24" s="4"/>
      <c r="R24" s="4"/>
      <c r="S24" s="4"/>
      <c r="T24" s="4"/>
      <c r="U24" s="4"/>
      <c r="V24" s="4"/>
      <c r="W24" s="4"/>
      <c r="X24" s="4"/>
      <c r="Y24" s="4"/>
      <c r="Z24" s="4"/>
      <c r="AA24" s="4"/>
      <c r="AB24" s="4"/>
      <c r="AC24" s="4"/>
      <c r="AD24" s="4"/>
      <c r="AE24" s="73"/>
      <c r="AF24" s="73"/>
      <c r="AG24" s="73"/>
      <c r="AH24" s="73">
        <v>52.2</v>
      </c>
      <c r="AI24" s="73">
        <v>50.6</v>
      </c>
      <c r="AJ24" s="73"/>
      <c r="AK24" s="73"/>
      <c r="AL24" s="73"/>
      <c r="AM24" s="73"/>
      <c r="AN24" s="73"/>
      <c r="AO24" s="73"/>
      <c r="AP24" s="73"/>
      <c r="AQ24" s="73">
        <v>27.3</v>
      </c>
      <c r="AR24" s="73">
        <v>22.4</v>
      </c>
      <c r="AS24" s="73">
        <v>20</v>
      </c>
      <c r="AT24" s="73">
        <v>20.6</v>
      </c>
      <c r="AU24" s="73">
        <v>12.9</v>
      </c>
      <c r="AV24" s="73">
        <v>16.100000000000001</v>
      </c>
      <c r="AW24" s="73">
        <v>14.2</v>
      </c>
      <c r="AX24" s="73">
        <v>16.100000000000001</v>
      </c>
      <c r="AY24" s="73">
        <v>9.4</v>
      </c>
      <c r="AZ24" s="73">
        <v>9.1999999999999993</v>
      </c>
      <c r="BA24" s="73">
        <v>5.9</v>
      </c>
      <c r="BB24" s="73">
        <v>7.1</v>
      </c>
      <c r="BC24" s="73">
        <v>3.9</v>
      </c>
      <c r="BD24" s="73"/>
    </row>
    <row r="25" spans="1:56">
      <c r="A25" s="3" t="s">
        <v>926</v>
      </c>
      <c r="B25" s="3" t="s">
        <v>927</v>
      </c>
      <c r="C25" s="3">
        <v>17</v>
      </c>
      <c r="D25" s="3" t="s">
        <v>664</v>
      </c>
      <c r="E25" s="4">
        <v>33.799999999999997</v>
      </c>
      <c r="F25" s="4">
        <v>31.2</v>
      </c>
      <c r="G25" s="4">
        <v>30.4</v>
      </c>
      <c r="H25" s="4">
        <v>30.9</v>
      </c>
      <c r="I25" s="4">
        <v>32.5</v>
      </c>
      <c r="J25" s="4">
        <v>34.5</v>
      </c>
      <c r="K25" s="4">
        <v>36.799999999999997</v>
      </c>
      <c r="L25" s="4">
        <v>40.1</v>
      </c>
      <c r="M25" s="4">
        <v>43.2</v>
      </c>
      <c r="N25" s="4">
        <v>47.3</v>
      </c>
      <c r="O25" s="4">
        <v>40.5</v>
      </c>
      <c r="P25" s="4">
        <v>41.3</v>
      </c>
      <c r="Q25" s="4">
        <v>39.799999999999997</v>
      </c>
      <c r="R25" s="4">
        <v>40.299999999999997</v>
      </c>
      <c r="S25" s="4">
        <v>44.6</v>
      </c>
      <c r="T25" s="4">
        <v>43</v>
      </c>
      <c r="U25" s="4">
        <v>45.9</v>
      </c>
      <c r="V25" s="4">
        <v>48.3</v>
      </c>
      <c r="W25" s="4">
        <v>48.3</v>
      </c>
      <c r="X25" s="4">
        <v>52.9</v>
      </c>
      <c r="Y25" s="4">
        <v>66</v>
      </c>
      <c r="Z25" s="4">
        <v>70.3</v>
      </c>
      <c r="AA25" s="4">
        <v>63.7</v>
      </c>
      <c r="AB25" s="4">
        <v>61.7</v>
      </c>
      <c r="AC25" s="4">
        <v>54.4</v>
      </c>
      <c r="AD25" s="4">
        <v>52.1</v>
      </c>
      <c r="AE25" s="73">
        <v>48.3</v>
      </c>
      <c r="AF25" s="73">
        <v>52.900000000000006</v>
      </c>
      <c r="AG25" s="73">
        <v>66</v>
      </c>
      <c r="AH25" s="73">
        <v>70.3</v>
      </c>
      <c r="AI25" s="73">
        <v>68.400000000000006</v>
      </c>
      <c r="AJ25" s="73">
        <v>63.7</v>
      </c>
      <c r="AK25" s="73">
        <v>61.7</v>
      </c>
      <c r="AL25" s="73">
        <v>54.400000000000006</v>
      </c>
      <c r="AM25" s="73">
        <v>52.1</v>
      </c>
      <c r="AN25" s="73">
        <v>49.7</v>
      </c>
      <c r="AO25" s="73">
        <v>49.1</v>
      </c>
      <c r="AP25" s="73">
        <v>45.7</v>
      </c>
      <c r="AQ25" s="73">
        <v>41.4</v>
      </c>
      <c r="AR25" s="73">
        <v>35.1</v>
      </c>
      <c r="AS25" s="73">
        <v>33.4</v>
      </c>
      <c r="AT25" s="73">
        <v>29.7</v>
      </c>
      <c r="AU25" s="73">
        <v>22.7</v>
      </c>
      <c r="AV25" s="73">
        <v>19.600000000000001</v>
      </c>
      <c r="AW25" s="73">
        <v>13.5</v>
      </c>
      <c r="AX25" s="73">
        <v>12.8</v>
      </c>
      <c r="AY25" s="73">
        <v>12.2</v>
      </c>
      <c r="AZ25" s="73">
        <v>9.1999999999999993</v>
      </c>
      <c r="BA25" s="73">
        <v>7.3</v>
      </c>
      <c r="BB25" s="73">
        <v>6</v>
      </c>
      <c r="BC25" s="73">
        <v>4.3</v>
      </c>
      <c r="BD25" s="73">
        <v>2.7</v>
      </c>
    </row>
    <row r="26" spans="1:56">
      <c r="A26" s="3" t="s">
        <v>928</v>
      </c>
      <c r="B26" s="3" t="s">
        <v>929</v>
      </c>
      <c r="C26" s="3">
        <v>18</v>
      </c>
      <c r="D26" s="3" t="s">
        <v>713</v>
      </c>
      <c r="E26" s="4">
        <v>37.4</v>
      </c>
      <c r="F26" s="4">
        <v>36.1</v>
      </c>
      <c r="G26" s="4">
        <v>30.9</v>
      </c>
      <c r="H26" s="4">
        <v>26.3</v>
      </c>
      <c r="I26" s="4">
        <v>28.5</v>
      </c>
      <c r="J26" s="4">
        <v>28.9</v>
      </c>
      <c r="K26" s="4">
        <v>34</v>
      </c>
      <c r="L26" s="4">
        <v>41.8</v>
      </c>
      <c r="M26" s="4">
        <v>37.799999999999997</v>
      </c>
      <c r="N26" s="4">
        <v>39.6</v>
      </c>
      <c r="O26" s="4">
        <v>38.9</v>
      </c>
      <c r="P26" s="4">
        <v>36.799999999999997</v>
      </c>
      <c r="Q26" s="4">
        <v>36.799999999999997</v>
      </c>
      <c r="R26" s="4">
        <v>35.200000000000003</v>
      </c>
      <c r="S26" s="4">
        <v>33.6</v>
      </c>
      <c r="T26" s="4">
        <v>33.4</v>
      </c>
      <c r="U26" s="4">
        <v>39.200000000000003</v>
      </c>
      <c r="V26" s="4">
        <v>42</v>
      </c>
      <c r="W26" s="4">
        <v>42.4</v>
      </c>
      <c r="X26" s="4">
        <v>45.9</v>
      </c>
      <c r="Y26" s="4">
        <v>65.599999999999994</v>
      </c>
      <c r="Z26" s="4">
        <v>67.900000000000006</v>
      </c>
      <c r="AA26" s="4">
        <v>53</v>
      </c>
      <c r="AB26" s="4">
        <v>52.2</v>
      </c>
      <c r="AC26" s="4">
        <v>51.3</v>
      </c>
      <c r="AD26" s="4">
        <v>44.6</v>
      </c>
      <c r="AE26" s="73">
        <v>40.200000000000003</v>
      </c>
      <c r="AF26" s="73">
        <v>40.5</v>
      </c>
      <c r="AG26" s="73">
        <v>54.79999999999999</v>
      </c>
      <c r="AH26" s="73">
        <v>62.8</v>
      </c>
      <c r="AI26" s="73">
        <v>61.8</v>
      </c>
      <c r="AJ26" s="73">
        <v>53</v>
      </c>
      <c r="AK26" s="73">
        <v>52.2</v>
      </c>
      <c r="AL26" s="73">
        <v>51.300000000000004</v>
      </c>
      <c r="AM26" s="73">
        <v>44.6</v>
      </c>
      <c r="AN26" s="73">
        <v>45.2</v>
      </c>
      <c r="AO26" s="73">
        <v>44</v>
      </c>
      <c r="AP26" s="73">
        <v>37.4</v>
      </c>
      <c r="AQ26" s="73">
        <v>37.799999999999997</v>
      </c>
      <c r="AR26" s="73">
        <v>29.5</v>
      </c>
      <c r="AS26" s="73">
        <v>23.5</v>
      </c>
      <c r="AT26" s="73">
        <v>18.399999999999999</v>
      </c>
      <c r="AU26" s="73">
        <v>17.600000000000001</v>
      </c>
      <c r="AV26" s="73">
        <v>16.399999999999999</v>
      </c>
      <c r="AW26" s="73">
        <v>17.100000000000001</v>
      </c>
      <c r="AX26" s="73">
        <v>14.400000000000002</v>
      </c>
      <c r="AY26" s="73">
        <v>15.299999999999999</v>
      </c>
      <c r="AZ26" s="73">
        <v>12.8</v>
      </c>
      <c r="BA26" s="73">
        <v>11.1</v>
      </c>
      <c r="BB26" s="73">
        <v>7.5</v>
      </c>
      <c r="BC26" s="73">
        <v>5.8000000000000007</v>
      </c>
      <c r="BD26" s="73">
        <v>3.2</v>
      </c>
    </row>
    <row r="27" spans="1:56">
      <c r="A27" s="3" t="s">
        <v>841</v>
      </c>
      <c r="B27" s="3" t="s">
        <v>659</v>
      </c>
      <c r="C27" s="3">
        <v>19</v>
      </c>
      <c r="D27" s="3" t="s">
        <v>713</v>
      </c>
      <c r="E27" s="4">
        <v>27</v>
      </c>
      <c r="F27" s="4">
        <v>26.1</v>
      </c>
      <c r="G27" s="4">
        <v>24.4</v>
      </c>
      <c r="H27" s="4">
        <v>25.4</v>
      </c>
      <c r="I27" s="4">
        <v>22.1</v>
      </c>
      <c r="J27" s="4">
        <v>22.5</v>
      </c>
      <c r="K27" s="4">
        <v>29.7</v>
      </c>
      <c r="L27" s="4">
        <v>36.299999999999997</v>
      </c>
      <c r="M27" s="4">
        <v>36.4</v>
      </c>
      <c r="N27" s="4">
        <v>38.200000000000003</v>
      </c>
      <c r="O27" s="4">
        <v>36.9</v>
      </c>
      <c r="P27" s="4">
        <v>37.9</v>
      </c>
      <c r="Q27" s="4">
        <v>34.5</v>
      </c>
      <c r="R27" s="4">
        <v>36</v>
      </c>
      <c r="S27" s="4">
        <v>34.6</v>
      </c>
      <c r="T27" s="4">
        <v>35.6</v>
      </c>
      <c r="U27" s="4">
        <v>40.5</v>
      </c>
      <c r="V27" s="4">
        <v>41.5</v>
      </c>
      <c r="W27" s="4">
        <v>40.200000000000003</v>
      </c>
      <c r="X27" s="4">
        <v>40.5</v>
      </c>
      <c r="Y27" s="4">
        <v>54.8</v>
      </c>
      <c r="Z27" s="4">
        <v>62.8</v>
      </c>
      <c r="AA27" s="4">
        <v>63.2</v>
      </c>
      <c r="AB27" s="4">
        <v>50.4</v>
      </c>
      <c r="AC27" s="4">
        <v>43.3</v>
      </c>
      <c r="AD27" s="4">
        <v>42</v>
      </c>
      <c r="AE27" s="73">
        <v>42.4</v>
      </c>
      <c r="AF27" s="73">
        <v>45.9</v>
      </c>
      <c r="AG27" s="73">
        <v>65.599999999999994</v>
      </c>
      <c r="AH27" s="73">
        <v>67.900000000000006</v>
      </c>
      <c r="AI27" s="73">
        <v>62.2</v>
      </c>
      <c r="AJ27" s="73">
        <v>63.2</v>
      </c>
      <c r="AK27" s="73">
        <v>50.4</v>
      </c>
      <c r="AL27" s="73">
        <v>43.3</v>
      </c>
      <c r="AM27" s="73">
        <v>42</v>
      </c>
      <c r="AN27" s="73">
        <v>35.9</v>
      </c>
      <c r="AO27" s="73">
        <v>34.9</v>
      </c>
      <c r="AP27" s="73">
        <v>30.2</v>
      </c>
      <c r="AQ27" s="73">
        <v>27</v>
      </c>
      <c r="AR27" s="73">
        <v>24.8</v>
      </c>
      <c r="AS27" s="73">
        <v>22.8</v>
      </c>
      <c r="AT27" s="73">
        <v>22</v>
      </c>
      <c r="AU27" s="73">
        <v>13.900000000000002</v>
      </c>
      <c r="AV27" s="73">
        <v>15.6</v>
      </c>
      <c r="AW27" s="73">
        <v>17.600000000000001</v>
      </c>
      <c r="AX27" s="73">
        <v>12.3</v>
      </c>
      <c r="AY27" s="73">
        <v>9.6999999999999993</v>
      </c>
      <c r="AZ27" s="73">
        <v>7.8</v>
      </c>
      <c r="BA27" s="73">
        <v>5.2</v>
      </c>
      <c r="BB27" s="73">
        <v>4</v>
      </c>
      <c r="BC27" s="73">
        <v>4.3</v>
      </c>
      <c r="BD27" s="73">
        <v>1.4000000000000001</v>
      </c>
    </row>
    <row r="28" spans="1:56">
      <c r="A28" s="3" t="s">
        <v>660</v>
      </c>
      <c r="B28" s="3" t="s">
        <v>661</v>
      </c>
      <c r="C28" s="3">
        <v>20</v>
      </c>
      <c r="D28" s="3" t="s">
        <v>541</v>
      </c>
      <c r="E28" s="4">
        <v>20</v>
      </c>
      <c r="F28" s="4">
        <v>15.9</v>
      </c>
      <c r="G28" s="4">
        <v>14.1</v>
      </c>
      <c r="H28" s="4">
        <v>13.1</v>
      </c>
      <c r="I28" s="4">
        <v>15</v>
      </c>
      <c r="J28" s="4">
        <v>13.5</v>
      </c>
      <c r="K28" s="4">
        <v>11.3</v>
      </c>
      <c r="L28" s="4">
        <v>14.3</v>
      </c>
      <c r="M28" s="4">
        <v>10.6</v>
      </c>
      <c r="N28" s="4">
        <v>14.6</v>
      </c>
      <c r="O28" s="4">
        <v>14.1</v>
      </c>
      <c r="P28" s="4">
        <v>14.7</v>
      </c>
      <c r="Q28" s="4">
        <v>14.4</v>
      </c>
      <c r="R28" s="4">
        <v>17.2</v>
      </c>
      <c r="S28" s="4">
        <v>15.5</v>
      </c>
      <c r="T28" s="4">
        <v>14.5</v>
      </c>
      <c r="U28" s="4">
        <v>10.6</v>
      </c>
      <c r="V28" s="4">
        <v>12.2</v>
      </c>
      <c r="W28" s="4">
        <v>16.600000000000001</v>
      </c>
      <c r="X28" s="4">
        <v>11.6</v>
      </c>
      <c r="Y28" s="4">
        <v>27.5</v>
      </c>
      <c r="Z28" s="4">
        <v>33.299999999999997</v>
      </c>
      <c r="AA28" s="4">
        <v>26.6</v>
      </c>
      <c r="AB28" s="4">
        <v>33.799999999999997</v>
      </c>
      <c r="AC28" s="4">
        <v>16.8</v>
      </c>
      <c r="AD28" s="4">
        <v>16.100000000000001</v>
      </c>
      <c r="AE28" s="73">
        <v>16.600000000000001</v>
      </c>
      <c r="AF28" s="73">
        <v>11.6</v>
      </c>
      <c r="AG28" s="73">
        <v>27.500000000000004</v>
      </c>
      <c r="AH28" s="73">
        <v>33.299999999999997</v>
      </c>
      <c r="AI28" s="73">
        <v>32.5</v>
      </c>
      <c r="AJ28" s="73">
        <v>26.6</v>
      </c>
      <c r="AK28" s="73">
        <v>33.799999999999997</v>
      </c>
      <c r="AL28" s="73">
        <v>16.8</v>
      </c>
      <c r="AM28" s="73">
        <v>16.100000000000001</v>
      </c>
      <c r="AN28" s="73">
        <v>11.1</v>
      </c>
      <c r="AO28" s="73">
        <v>8.9</v>
      </c>
      <c r="AP28" s="73">
        <v>6.9</v>
      </c>
      <c r="AQ28" s="73">
        <v>5.8</v>
      </c>
      <c r="AR28" s="73">
        <v>2.7</v>
      </c>
      <c r="AS28" s="73">
        <v>4.0999999999999996</v>
      </c>
      <c r="AT28" s="73">
        <v>3.6000000000000005</v>
      </c>
      <c r="AU28" s="73">
        <v>2.2000000000000002</v>
      </c>
      <c r="AV28" s="73">
        <v>1.3</v>
      </c>
      <c r="AW28" s="73">
        <v>1.0999999999999999</v>
      </c>
      <c r="AX28" s="73">
        <v>2.7</v>
      </c>
      <c r="AY28" s="73">
        <v>0.90000000000000013</v>
      </c>
      <c r="AZ28" s="73">
        <v>1.7000000000000002</v>
      </c>
      <c r="BA28" s="73">
        <v>1.1000000000000001</v>
      </c>
      <c r="BB28" s="73">
        <v>1.5</v>
      </c>
      <c r="BC28" s="73">
        <v>2.1</v>
      </c>
      <c r="BD28" s="73">
        <v>1.6</v>
      </c>
    </row>
    <row r="29" spans="1:56">
      <c r="A29" s="3" t="s">
        <v>80</v>
      </c>
      <c r="B29" s="3" t="s">
        <v>747</v>
      </c>
      <c r="C29" s="3">
        <v>21</v>
      </c>
      <c r="D29" s="3" t="s">
        <v>759</v>
      </c>
      <c r="E29" s="4">
        <v>28.6</v>
      </c>
      <c r="F29" s="4">
        <v>21.6</v>
      </c>
      <c r="G29" s="4">
        <v>24.5</v>
      </c>
      <c r="H29" s="4">
        <v>21.6</v>
      </c>
      <c r="I29" s="4">
        <v>23.1</v>
      </c>
      <c r="J29" s="4">
        <v>24.6</v>
      </c>
      <c r="K29" s="4">
        <v>30.1</v>
      </c>
      <c r="L29" s="4">
        <v>29.7</v>
      </c>
      <c r="M29" s="4">
        <v>31.8</v>
      </c>
      <c r="N29" s="4">
        <v>31.9</v>
      </c>
      <c r="O29" s="4">
        <v>32.700000000000003</v>
      </c>
      <c r="P29" s="4">
        <v>27.1</v>
      </c>
      <c r="Q29" s="4">
        <v>30.6</v>
      </c>
      <c r="R29" s="4">
        <v>32.9</v>
      </c>
      <c r="S29" s="4">
        <v>28.8</v>
      </c>
      <c r="T29" s="4">
        <v>29.3</v>
      </c>
      <c r="U29" s="4">
        <v>32.6</v>
      </c>
      <c r="V29" s="4">
        <v>34.1</v>
      </c>
      <c r="W29" s="4">
        <v>35.799999999999997</v>
      </c>
      <c r="X29" s="4">
        <v>41.2</v>
      </c>
      <c r="Y29" s="4">
        <v>56.2</v>
      </c>
      <c r="Z29" s="4">
        <v>60.9</v>
      </c>
      <c r="AA29" s="4">
        <v>54.6</v>
      </c>
      <c r="AB29" s="4">
        <v>47.9</v>
      </c>
      <c r="AC29" s="4">
        <v>42</v>
      </c>
      <c r="AD29" s="4">
        <v>36.5</v>
      </c>
      <c r="AE29" s="73">
        <v>38.055213675213672</v>
      </c>
      <c r="AF29" s="73">
        <v>42.170598290598292</v>
      </c>
      <c r="AG29" s="73">
        <v>56.656752136752139</v>
      </c>
      <c r="AH29" s="73">
        <v>61.699316239316239</v>
      </c>
      <c r="AI29" s="73">
        <v>61</v>
      </c>
      <c r="AJ29" s="73">
        <v>54.6</v>
      </c>
      <c r="AK29" s="73">
        <v>44.502905982905979</v>
      </c>
      <c r="AL29" s="73">
        <v>43.170427350427346</v>
      </c>
      <c r="AM29" s="73">
        <v>39.38324786324786</v>
      </c>
      <c r="AN29" s="73">
        <v>35.212307692307689</v>
      </c>
      <c r="AO29" s="73">
        <v>30.897948717948715</v>
      </c>
      <c r="AP29" s="73">
        <v>29.112820512820505</v>
      </c>
      <c r="AQ29" s="73">
        <v>24.527179487179488</v>
      </c>
      <c r="AR29" s="73">
        <v>19.72735042735043</v>
      </c>
      <c r="AS29" s="73">
        <v>14.856068376068377</v>
      </c>
      <c r="AT29" s="73">
        <v>13.76991452991453</v>
      </c>
      <c r="AU29" s="73">
        <v>14.413675213675212</v>
      </c>
      <c r="AV29" s="73">
        <v>14.657094017094018</v>
      </c>
      <c r="AW29" s="73">
        <v>14.599316239316241</v>
      </c>
      <c r="AX29" s="73">
        <v>13.643760683760682</v>
      </c>
      <c r="AY29" s="73">
        <v>12.185128205128207</v>
      </c>
      <c r="AZ29" s="73">
        <v>8.6003418803418796</v>
      </c>
      <c r="BA29" s="73">
        <v>6.2140170940170947</v>
      </c>
      <c r="BB29" s="73">
        <v>5.1565811965811967</v>
      </c>
      <c r="BC29" s="73">
        <v>4.2282051282051274</v>
      </c>
      <c r="BD29" s="73">
        <v>4.8576068376068378</v>
      </c>
    </row>
    <row r="30" spans="1:56">
      <c r="A30" s="3" t="s">
        <v>721</v>
      </c>
      <c r="B30" s="3" t="s">
        <v>722</v>
      </c>
      <c r="C30" s="3">
        <v>22</v>
      </c>
      <c r="D30" s="3" t="s">
        <v>664</v>
      </c>
      <c r="E30" s="4">
        <v>39.5</v>
      </c>
      <c r="F30" s="4">
        <v>41.5</v>
      </c>
      <c r="G30" s="4">
        <v>40.4</v>
      </c>
      <c r="H30" s="4">
        <v>36.4</v>
      </c>
      <c r="I30" s="4">
        <v>32.799999999999997</v>
      </c>
      <c r="J30" s="4">
        <v>36.9</v>
      </c>
      <c r="K30" s="4">
        <v>41</v>
      </c>
      <c r="L30" s="4">
        <v>44</v>
      </c>
      <c r="M30" s="4">
        <v>45.4</v>
      </c>
      <c r="N30" s="4">
        <v>44</v>
      </c>
      <c r="O30" s="4">
        <v>40.9</v>
      </c>
      <c r="P30" s="4">
        <v>43.2</v>
      </c>
      <c r="Q30" s="4">
        <v>40</v>
      </c>
      <c r="R30" s="4">
        <v>46.3</v>
      </c>
      <c r="S30" s="4">
        <v>46.8</v>
      </c>
      <c r="T30" s="4">
        <v>44.8</v>
      </c>
      <c r="U30" s="4">
        <v>44.3</v>
      </c>
      <c r="V30" s="4">
        <v>44.7</v>
      </c>
      <c r="W30" s="4">
        <v>49.3</v>
      </c>
      <c r="X30" s="4">
        <v>47.6</v>
      </c>
      <c r="Y30" s="4">
        <v>60.2</v>
      </c>
      <c r="Z30" s="4">
        <v>66.5</v>
      </c>
      <c r="AA30" s="4">
        <v>65.599999999999994</v>
      </c>
      <c r="AB30" s="4">
        <v>58.7</v>
      </c>
      <c r="AC30" s="4">
        <v>59</v>
      </c>
      <c r="AD30" s="4">
        <v>58.9</v>
      </c>
      <c r="AE30" s="73">
        <v>49.3</v>
      </c>
      <c r="AF30" s="73">
        <v>47.6</v>
      </c>
      <c r="AG30" s="73">
        <v>60.199999999999996</v>
      </c>
      <c r="AH30" s="73">
        <v>66.5</v>
      </c>
      <c r="AI30" s="73">
        <v>63</v>
      </c>
      <c r="AJ30" s="73">
        <v>65.599999999999994</v>
      </c>
      <c r="AK30" s="73">
        <v>58.70000000000001</v>
      </c>
      <c r="AL30" s="73">
        <v>59</v>
      </c>
      <c r="AM30" s="73">
        <v>58.9</v>
      </c>
      <c r="AN30" s="73">
        <v>49.7</v>
      </c>
      <c r="AO30" s="73">
        <v>48.1</v>
      </c>
      <c r="AP30" s="73">
        <v>45.6</v>
      </c>
      <c r="AQ30" s="73">
        <v>44.2</v>
      </c>
      <c r="AR30" s="73">
        <v>43.4</v>
      </c>
      <c r="AS30" s="73">
        <v>34.200000000000003</v>
      </c>
      <c r="AT30" s="73">
        <v>31</v>
      </c>
      <c r="AU30" s="73">
        <v>26</v>
      </c>
      <c r="AV30" s="73">
        <v>23</v>
      </c>
      <c r="AW30" s="73">
        <v>23.7</v>
      </c>
      <c r="AX30" s="73">
        <v>15.4</v>
      </c>
      <c r="AY30" s="73">
        <v>15.9</v>
      </c>
      <c r="AZ30" s="73">
        <v>11.3</v>
      </c>
      <c r="BA30" s="73">
        <v>8.1</v>
      </c>
      <c r="BB30" s="73">
        <v>7.2000000000000011</v>
      </c>
      <c r="BC30" s="73">
        <v>7.8</v>
      </c>
      <c r="BD30" s="73">
        <v>4.8</v>
      </c>
    </row>
    <row r="31" spans="1:56">
      <c r="A31" s="3" t="s">
        <v>723</v>
      </c>
      <c r="B31" s="3" t="s">
        <v>724</v>
      </c>
      <c r="C31" s="3">
        <v>23</v>
      </c>
      <c r="D31" s="3" t="s">
        <v>541</v>
      </c>
      <c r="E31" s="4">
        <v>10.5</v>
      </c>
      <c r="F31" s="4">
        <v>10</v>
      </c>
      <c r="G31" s="4">
        <v>6.8</v>
      </c>
      <c r="H31" s="4">
        <v>6.6</v>
      </c>
      <c r="I31" s="4">
        <v>5.3</v>
      </c>
      <c r="J31" s="4">
        <v>5.8</v>
      </c>
      <c r="K31" s="4">
        <v>7.5</v>
      </c>
      <c r="L31" s="4">
        <v>11.7</v>
      </c>
      <c r="M31" s="4">
        <v>9.9</v>
      </c>
      <c r="N31" s="4">
        <v>14.6</v>
      </c>
      <c r="O31" s="4">
        <v>11.3</v>
      </c>
      <c r="P31" s="4">
        <v>12.1</v>
      </c>
      <c r="Q31" s="4">
        <v>11.7</v>
      </c>
      <c r="R31" s="4">
        <v>11.7</v>
      </c>
      <c r="S31" s="4">
        <v>10</v>
      </c>
      <c r="T31" s="4">
        <v>15.2</v>
      </c>
      <c r="U31" s="4">
        <v>13.5</v>
      </c>
      <c r="V31" s="4">
        <v>16.100000000000001</v>
      </c>
      <c r="W31" s="4">
        <v>13</v>
      </c>
      <c r="X31" s="4">
        <v>15.2</v>
      </c>
      <c r="Y31" s="4">
        <v>30.6</v>
      </c>
      <c r="Z31" s="4">
        <v>38</v>
      </c>
      <c r="AA31" s="4">
        <v>32.799999999999997</v>
      </c>
      <c r="AB31" s="4">
        <v>24.3</v>
      </c>
      <c r="AC31" s="4">
        <v>24.3</v>
      </c>
      <c r="AD31" s="4">
        <v>16.7</v>
      </c>
      <c r="AE31" s="73">
        <v>13</v>
      </c>
      <c r="AF31" s="73">
        <v>15.2</v>
      </c>
      <c r="AG31" s="73">
        <v>30.599999999999998</v>
      </c>
      <c r="AH31" s="73">
        <v>38</v>
      </c>
      <c r="AI31" s="73">
        <v>33.6</v>
      </c>
      <c r="AJ31" s="73">
        <v>32.799999999999997</v>
      </c>
      <c r="AK31" s="73">
        <v>24.3</v>
      </c>
      <c r="AL31" s="73">
        <v>24.3</v>
      </c>
      <c r="AM31" s="73">
        <v>16.7</v>
      </c>
      <c r="AN31" s="73">
        <v>13.8</v>
      </c>
      <c r="AO31" s="73">
        <v>9</v>
      </c>
      <c r="AP31" s="73">
        <v>5.6</v>
      </c>
      <c r="AQ31" s="73">
        <v>7.6</v>
      </c>
      <c r="AR31" s="73">
        <v>5.6</v>
      </c>
      <c r="AS31" s="73">
        <v>4.8</v>
      </c>
      <c r="AT31" s="73">
        <v>6.4</v>
      </c>
      <c r="AU31" s="73">
        <v>3.2</v>
      </c>
      <c r="AV31" s="73">
        <v>5.2</v>
      </c>
      <c r="AW31" s="73">
        <v>4.0999999999999996</v>
      </c>
      <c r="AX31" s="73">
        <v>1.9</v>
      </c>
      <c r="AY31" s="73">
        <v>2.6</v>
      </c>
      <c r="AZ31" s="73">
        <v>2</v>
      </c>
      <c r="BA31" s="73">
        <v>2.1</v>
      </c>
      <c r="BB31" s="73">
        <v>1.8000000000000003</v>
      </c>
      <c r="BC31" s="73">
        <v>1.2</v>
      </c>
      <c r="BD31" s="73">
        <v>2.7</v>
      </c>
    </row>
    <row r="32" spans="1:56">
      <c r="A32" s="3" t="s">
        <v>725</v>
      </c>
      <c r="B32" s="3" t="s">
        <v>726</v>
      </c>
      <c r="C32" s="3">
        <v>24</v>
      </c>
      <c r="D32" s="3" t="s">
        <v>664</v>
      </c>
      <c r="E32" s="4">
        <v>36.1</v>
      </c>
      <c r="F32" s="4">
        <v>38</v>
      </c>
      <c r="G32" s="4">
        <v>35.200000000000003</v>
      </c>
      <c r="H32" s="4">
        <v>36.799999999999997</v>
      </c>
      <c r="I32" s="4">
        <v>39.1</v>
      </c>
      <c r="J32" s="4">
        <v>40</v>
      </c>
      <c r="K32" s="4">
        <v>35</v>
      </c>
      <c r="L32" s="4">
        <v>39.6</v>
      </c>
      <c r="M32" s="4">
        <v>44.1</v>
      </c>
      <c r="N32" s="4">
        <v>41.6</v>
      </c>
      <c r="O32" s="4">
        <v>38.799999999999997</v>
      </c>
      <c r="P32" s="4">
        <v>40.5</v>
      </c>
      <c r="Q32" s="4">
        <v>38.799999999999997</v>
      </c>
      <c r="R32" s="4">
        <v>37.9</v>
      </c>
      <c r="S32" s="4">
        <v>46.8</v>
      </c>
      <c r="T32" s="4">
        <v>36.700000000000003</v>
      </c>
      <c r="U32" s="4">
        <v>43.4</v>
      </c>
      <c r="V32" s="4">
        <v>39.799999999999997</v>
      </c>
      <c r="W32" s="4">
        <v>45.8</v>
      </c>
      <c r="X32" s="4">
        <v>45.7</v>
      </c>
      <c r="Y32" s="4">
        <v>63.8</v>
      </c>
      <c r="Z32" s="4">
        <v>70.8</v>
      </c>
      <c r="AA32" s="4">
        <v>67.2</v>
      </c>
      <c r="AB32" s="4">
        <v>62</v>
      </c>
      <c r="AC32" s="4">
        <v>56.2</v>
      </c>
      <c r="AD32" s="4">
        <v>52.4</v>
      </c>
      <c r="AE32" s="73">
        <v>45.8</v>
      </c>
      <c r="AF32" s="73">
        <v>45.7</v>
      </c>
      <c r="AG32" s="73">
        <v>63.800000000000004</v>
      </c>
      <c r="AH32" s="73">
        <v>70.8</v>
      </c>
      <c r="AI32" s="73">
        <v>69.2</v>
      </c>
      <c r="AJ32" s="73">
        <v>67.2</v>
      </c>
      <c r="AK32" s="73">
        <v>62</v>
      </c>
      <c r="AL32" s="73">
        <v>56.2</v>
      </c>
      <c r="AM32" s="73">
        <v>52.400000000000006</v>
      </c>
      <c r="AN32" s="73">
        <v>49</v>
      </c>
      <c r="AO32" s="73">
        <v>47.8</v>
      </c>
      <c r="AP32" s="73">
        <v>47.9</v>
      </c>
      <c r="AQ32" s="73">
        <v>37.4</v>
      </c>
      <c r="AR32" s="73">
        <v>35.4</v>
      </c>
      <c r="AS32" s="73">
        <v>29.100000000000005</v>
      </c>
      <c r="AT32" s="73">
        <v>27.699999999999996</v>
      </c>
      <c r="AU32" s="73">
        <v>18.7</v>
      </c>
      <c r="AV32" s="73">
        <v>22.9</v>
      </c>
      <c r="AW32" s="73">
        <v>15.6</v>
      </c>
      <c r="AX32" s="73">
        <v>14.3</v>
      </c>
      <c r="AY32" s="73">
        <v>10.3</v>
      </c>
      <c r="AZ32" s="73">
        <v>8.3000000000000007</v>
      </c>
      <c r="BA32" s="73">
        <v>7.2000000000000011</v>
      </c>
      <c r="BB32" s="73">
        <v>5.7</v>
      </c>
      <c r="BC32" s="73">
        <v>4.2</v>
      </c>
      <c r="BD32" s="73">
        <v>4.5999999999999996</v>
      </c>
    </row>
    <row r="33" spans="1:56">
      <c r="E33" s="3"/>
      <c r="F33" s="3"/>
      <c r="G33" s="3"/>
      <c r="H33" s="3"/>
      <c r="I33" s="3"/>
      <c r="J33" s="3"/>
      <c r="K33" s="3"/>
      <c r="L33" s="3"/>
      <c r="M33" s="3"/>
      <c r="N33" s="3"/>
      <c r="O33" s="3"/>
      <c r="P33" s="3"/>
      <c r="Q33" s="3"/>
      <c r="R33" s="3"/>
      <c r="S33" s="3"/>
      <c r="T33" s="3"/>
      <c r="U33" s="3"/>
      <c r="V33" s="3"/>
      <c r="W33" s="3"/>
      <c r="X33" s="3"/>
      <c r="Y33" s="3"/>
      <c r="Z33" s="3"/>
      <c r="AA33" s="3"/>
      <c r="AB33" s="3"/>
      <c r="AC33" s="3"/>
      <c r="AD33" s="3"/>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row>
    <row r="34" spans="1:56">
      <c r="A34" s="3" t="s">
        <v>727</v>
      </c>
      <c r="E34" s="3"/>
      <c r="F34" s="3"/>
      <c r="G34" s="3"/>
      <c r="H34" s="3"/>
      <c r="I34" s="3"/>
      <c r="J34" s="3"/>
      <c r="K34" s="3"/>
      <c r="L34" s="3"/>
      <c r="M34" s="3"/>
      <c r="N34" s="3"/>
      <c r="O34" s="3"/>
      <c r="P34" s="3"/>
      <c r="Q34" s="3"/>
      <c r="R34" s="3"/>
      <c r="S34" s="3"/>
      <c r="T34" s="3"/>
      <c r="U34" s="3"/>
      <c r="V34" s="3"/>
      <c r="W34" s="3"/>
      <c r="X34" s="3"/>
      <c r="Y34" s="3"/>
      <c r="Z34" s="3"/>
      <c r="AA34" s="3"/>
      <c r="AB34" s="3"/>
      <c r="AC34" s="3"/>
      <c r="AD34" s="3"/>
      <c r="AE34" s="72">
        <v>35.9</v>
      </c>
      <c r="AF34" s="72">
        <v>38.299999999999997</v>
      </c>
      <c r="AG34" s="72">
        <v>53</v>
      </c>
      <c r="AH34" s="72">
        <v>57.5</v>
      </c>
      <c r="AI34" s="72">
        <v>54.7</v>
      </c>
      <c r="AJ34" s="73">
        <v>54</v>
      </c>
      <c r="AK34" s="73">
        <v>47.8</v>
      </c>
      <c r="AL34" s="73">
        <v>44.3</v>
      </c>
      <c r="AM34" s="73">
        <v>40.200000000000003</v>
      </c>
      <c r="AN34" s="73">
        <v>38.9</v>
      </c>
      <c r="AO34" s="73">
        <v>33.800000000000004</v>
      </c>
      <c r="AP34" s="73">
        <v>31.4</v>
      </c>
      <c r="AQ34" s="73">
        <v>26.899999999999995</v>
      </c>
      <c r="AR34" s="73">
        <v>23.4</v>
      </c>
      <c r="AS34" s="73">
        <v>20.6</v>
      </c>
      <c r="AT34" s="73">
        <v>17.8</v>
      </c>
      <c r="AU34" s="73">
        <v>15.299999999999999</v>
      </c>
      <c r="AV34" s="73">
        <v>13.900000000000002</v>
      </c>
      <c r="AW34" s="73">
        <v>13.200000000000001</v>
      </c>
      <c r="AX34" s="73">
        <v>12</v>
      </c>
      <c r="AY34" s="73">
        <v>9.9</v>
      </c>
      <c r="AZ34" s="73">
        <v>8.3000000000000007</v>
      </c>
      <c r="BA34" s="73">
        <v>6.5</v>
      </c>
      <c r="BB34" s="73">
        <v>6.5</v>
      </c>
      <c r="BC34" s="73">
        <v>5.4</v>
      </c>
      <c r="BD34" s="73">
        <v>4.7</v>
      </c>
    </row>
    <row r="35" spans="1:56" ht="231">
      <c r="A35" s="7" t="s">
        <v>728</v>
      </c>
      <c r="B35" s="7"/>
      <c r="C35" s="7"/>
      <c r="D35" s="7"/>
      <c r="E35" s="7" t="s">
        <v>2211</v>
      </c>
      <c r="F35" s="7" t="s">
        <v>2211</v>
      </c>
      <c r="G35" s="7" t="s">
        <v>2211</v>
      </c>
      <c r="H35" s="7" t="s">
        <v>2211</v>
      </c>
      <c r="I35" s="7" t="s">
        <v>2211</v>
      </c>
      <c r="J35" s="7" t="s">
        <v>2211</v>
      </c>
      <c r="K35" s="7" t="s">
        <v>2211</v>
      </c>
      <c r="L35" s="7" t="s">
        <v>2211</v>
      </c>
      <c r="M35" s="7" t="s">
        <v>2211</v>
      </c>
      <c r="N35" s="7" t="s">
        <v>2211</v>
      </c>
      <c r="O35" s="7" t="s">
        <v>2211</v>
      </c>
      <c r="P35" s="7" t="s">
        <v>2211</v>
      </c>
      <c r="Q35" s="7" t="s">
        <v>2211</v>
      </c>
      <c r="R35" s="7" t="s">
        <v>2211</v>
      </c>
      <c r="S35" s="7" t="s">
        <v>2211</v>
      </c>
      <c r="T35" s="7" t="s">
        <v>2211</v>
      </c>
      <c r="U35" s="7" t="s">
        <v>2211</v>
      </c>
      <c r="V35" s="7" t="s">
        <v>2211</v>
      </c>
      <c r="W35" s="7" t="s">
        <v>2211</v>
      </c>
      <c r="X35" s="7" t="s">
        <v>2211</v>
      </c>
      <c r="Y35" s="7" t="s">
        <v>2211</v>
      </c>
      <c r="Z35" s="7" t="s">
        <v>2211</v>
      </c>
      <c r="AA35" s="7" t="s">
        <v>2211</v>
      </c>
      <c r="AB35" s="7" t="s">
        <v>2211</v>
      </c>
      <c r="AC35" s="7" t="s">
        <v>2211</v>
      </c>
      <c r="AD35" s="7" t="s">
        <v>2211</v>
      </c>
      <c r="AE35" s="1" t="s">
        <v>2888</v>
      </c>
      <c r="AF35" s="1" t="s">
        <v>2888</v>
      </c>
      <c r="AG35" s="1" t="s">
        <v>2888</v>
      </c>
      <c r="AH35" s="1" t="s">
        <v>2888</v>
      </c>
      <c r="AI35" s="1" t="s">
        <v>2888</v>
      </c>
      <c r="AJ35" s="1" t="s">
        <v>2888</v>
      </c>
      <c r="AK35" s="1" t="s">
        <v>2888</v>
      </c>
      <c r="AL35" s="1" t="s">
        <v>2888</v>
      </c>
      <c r="AM35" s="1" t="s">
        <v>2888</v>
      </c>
      <c r="AN35" s="1" t="s">
        <v>2888</v>
      </c>
      <c r="AO35" s="1" t="s">
        <v>2888</v>
      </c>
      <c r="AP35" s="1" t="s">
        <v>2888</v>
      </c>
      <c r="AQ35" s="1" t="s">
        <v>2888</v>
      </c>
      <c r="AR35" s="1" t="s">
        <v>2888</v>
      </c>
      <c r="AS35" s="1" t="s">
        <v>2888</v>
      </c>
      <c r="AT35" s="1" t="s">
        <v>2888</v>
      </c>
      <c r="AU35" s="1" t="s">
        <v>2888</v>
      </c>
      <c r="AV35" s="1" t="s">
        <v>2888</v>
      </c>
      <c r="AW35" s="1" t="s">
        <v>2888</v>
      </c>
      <c r="AX35" s="1" t="s">
        <v>2888</v>
      </c>
      <c r="AY35" s="1" t="s">
        <v>2888</v>
      </c>
      <c r="AZ35" s="1" t="s">
        <v>2888</v>
      </c>
      <c r="BA35" s="1" t="s">
        <v>2888</v>
      </c>
      <c r="BB35" s="1" t="s">
        <v>2888</v>
      </c>
      <c r="BC35" s="1" t="s">
        <v>2888</v>
      </c>
      <c r="BD35" s="1" t="s">
        <v>2888</v>
      </c>
    </row>
    <row r="36" spans="1:56" ht="330">
      <c r="A36" s="7" t="s">
        <v>2212</v>
      </c>
      <c r="B36" s="1"/>
      <c r="C36" s="1"/>
      <c r="D36" s="1"/>
      <c r="E36" s="1" t="s">
        <v>2213</v>
      </c>
      <c r="F36" s="1"/>
      <c r="G36" s="1"/>
      <c r="H36" s="1"/>
      <c r="I36" s="1"/>
      <c r="J36" s="1"/>
      <c r="K36" s="1"/>
      <c r="L36" s="1"/>
      <c r="M36" s="1"/>
      <c r="N36" s="1"/>
      <c r="O36" s="1"/>
      <c r="P36" s="1"/>
      <c r="Q36" s="1"/>
      <c r="R36" s="1"/>
      <c r="S36" s="1"/>
      <c r="T36" s="1"/>
      <c r="U36" s="1"/>
      <c r="V36" s="1"/>
      <c r="W36" s="1"/>
      <c r="X36" s="1"/>
      <c r="Y36" s="1"/>
      <c r="Z36" s="1"/>
      <c r="AA36" s="1"/>
      <c r="AB36" s="1"/>
      <c r="AC36" s="1"/>
      <c r="AD36" s="1"/>
      <c r="AE36" s="1" t="s">
        <v>2889</v>
      </c>
      <c r="AF36" s="1" t="s">
        <v>2889</v>
      </c>
      <c r="AG36" s="1" t="s">
        <v>2889</v>
      </c>
      <c r="AH36" s="1" t="s">
        <v>2889</v>
      </c>
      <c r="AI36" s="1" t="s">
        <v>2889</v>
      </c>
      <c r="AJ36" s="1" t="s">
        <v>2889</v>
      </c>
      <c r="AK36" s="1" t="s">
        <v>2889</v>
      </c>
      <c r="AL36" s="1" t="s">
        <v>2889</v>
      </c>
      <c r="AM36" s="1" t="s">
        <v>2889</v>
      </c>
      <c r="AN36" s="1" t="s">
        <v>2889</v>
      </c>
      <c r="AO36" s="1" t="s">
        <v>2889</v>
      </c>
      <c r="AP36" s="1" t="s">
        <v>2889</v>
      </c>
      <c r="AQ36" s="1" t="s">
        <v>2889</v>
      </c>
      <c r="AR36" s="1" t="s">
        <v>2889</v>
      </c>
      <c r="AS36" s="1" t="s">
        <v>2889</v>
      </c>
      <c r="AT36" s="1" t="s">
        <v>2889</v>
      </c>
      <c r="AU36" s="1" t="s">
        <v>2889</v>
      </c>
      <c r="AV36" s="1" t="s">
        <v>2889</v>
      </c>
      <c r="AW36" s="1" t="s">
        <v>2889</v>
      </c>
      <c r="AX36" s="1" t="s">
        <v>2889</v>
      </c>
      <c r="AY36" s="1" t="s">
        <v>2889</v>
      </c>
      <c r="AZ36" s="1" t="s">
        <v>2889</v>
      </c>
      <c r="BA36" s="1" t="s">
        <v>2889</v>
      </c>
      <c r="BB36" s="1" t="s">
        <v>2889</v>
      </c>
      <c r="BC36" s="1" t="s">
        <v>2889</v>
      </c>
      <c r="BD36" s="1" t="s">
        <v>2889</v>
      </c>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workbookViewId="0"/>
  </sheetViews>
  <sheetFormatPr baseColWidth="10" defaultRowHeight="13" x14ac:dyDescent="0"/>
  <cols>
    <col min="1" max="1" width="15.140625" style="3" customWidth="1"/>
    <col min="2" max="3" width="5.7109375" style="3" customWidth="1"/>
    <col min="4" max="4" width="10.7109375" style="3"/>
    <col min="5" max="29" width="10.7109375" style="6"/>
  </cols>
  <sheetData>
    <row r="1" spans="1:29">
      <c r="A1" s="137" t="s">
        <v>2404</v>
      </c>
    </row>
    <row r="2" spans="1:29">
      <c r="A2" s="1" t="s">
        <v>614</v>
      </c>
      <c r="B2" s="1"/>
      <c r="C2" s="1"/>
      <c r="D2" s="1"/>
      <c r="E2" s="1" t="s">
        <v>897</v>
      </c>
      <c r="F2" s="1" t="s">
        <v>897</v>
      </c>
      <c r="G2" s="1" t="s">
        <v>897</v>
      </c>
      <c r="H2" s="1" t="s">
        <v>897</v>
      </c>
      <c r="I2" s="1" t="s">
        <v>897</v>
      </c>
      <c r="J2" s="1" t="s">
        <v>897</v>
      </c>
      <c r="K2" s="1" t="s">
        <v>897</v>
      </c>
      <c r="L2" s="1" t="s">
        <v>897</v>
      </c>
      <c r="M2" s="1" t="s">
        <v>897</v>
      </c>
      <c r="N2" s="1" t="s">
        <v>897</v>
      </c>
      <c r="O2" s="1" t="s">
        <v>897</v>
      </c>
      <c r="P2" s="1" t="s">
        <v>897</v>
      </c>
      <c r="Q2" s="1" t="s">
        <v>897</v>
      </c>
      <c r="R2" s="1" t="s">
        <v>897</v>
      </c>
      <c r="S2" s="1" t="s">
        <v>897</v>
      </c>
      <c r="T2" s="1" t="s">
        <v>897</v>
      </c>
      <c r="U2" s="1" t="s">
        <v>897</v>
      </c>
      <c r="V2" s="1" t="s">
        <v>897</v>
      </c>
      <c r="W2" s="1" t="s">
        <v>897</v>
      </c>
      <c r="X2" s="1" t="s">
        <v>897</v>
      </c>
      <c r="Y2" s="1" t="s">
        <v>897</v>
      </c>
      <c r="Z2" s="1" t="s">
        <v>897</v>
      </c>
      <c r="AA2" s="1" t="s">
        <v>897</v>
      </c>
      <c r="AB2" s="1" t="s">
        <v>897</v>
      </c>
      <c r="AC2" s="1" t="s">
        <v>897</v>
      </c>
    </row>
    <row r="3" spans="1:29" ht="14" customHeight="1">
      <c r="A3" s="1" t="s">
        <v>518</v>
      </c>
      <c r="B3" s="1"/>
      <c r="C3" s="1"/>
      <c r="D3" s="1"/>
      <c r="E3" s="1" t="s">
        <v>821</v>
      </c>
      <c r="F3" s="1" t="s">
        <v>821</v>
      </c>
      <c r="G3" s="1" t="s">
        <v>821</v>
      </c>
      <c r="H3" s="1" t="s">
        <v>821</v>
      </c>
      <c r="I3" s="1" t="s">
        <v>821</v>
      </c>
      <c r="J3" s="1" t="s">
        <v>821</v>
      </c>
      <c r="K3" s="1" t="s">
        <v>821</v>
      </c>
      <c r="L3" s="1" t="s">
        <v>821</v>
      </c>
      <c r="M3" s="1" t="s">
        <v>821</v>
      </c>
      <c r="N3" s="1" t="s">
        <v>821</v>
      </c>
      <c r="O3" s="1" t="s">
        <v>821</v>
      </c>
      <c r="P3" s="1" t="s">
        <v>806</v>
      </c>
      <c r="Q3" s="1" t="s">
        <v>806</v>
      </c>
      <c r="R3" s="1" t="s">
        <v>806</v>
      </c>
      <c r="S3" s="1" t="s">
        <v>806</v>
      </c>
      <c r="T3" s="1" t="s">
        <v>806</v>
      </c>
      <c r="U3" s="1" t="s">
        <v>806</v>
      </c>
      <c r="V3" s="1" t="s">
        <v>806</v>
      </c>
      <c r="W3" s="1" t="s">
        <v>806</v>
      </c>
      <c r="X3" s="1" t="s">
        <v>806</v>
      </c>
      <c r="Y3" s="1" t="s">
        <v>806</v>
      </c>
      <c r="Z3" s="1" t="s">
        <v>806</v>
      </c>
      <c r="AA3" s="1" t="s">
        <v>214</v>
      </c>
      <c r="AB3" s="1" t="s">
        <v>214</v>
      </c>
      <c r="AC3" s="1" t="s">
        <v>214</v>
      </c>
    </row>
    <row r="4" spans="1:29">
      <c r="A4" s="1" t="s">
        <v>736</v>
      </c>
      <c r="B4" s="1"/>
      <c r="C4" s="1"/>
      <c r="D4" s="1"/>
      <c r="E4" s="1"/>
      <c r="F4" s="1"/>
      <c r="G4" s="1"/>
      <c r="H4" s="1"/>
      <c r="I4" s="1"/>
      <c r="J4" s="1"/>
      <c r="K4" s="1"/>
      <c r="L4" s="1"/>
      <c r="M4" s="1"/>
      <c r="N4" s="1"/>
      <c r="O4" s="1"/>
      <c r="P4" s="1"/>
      <c r="Q4" s="1"/>
      <c r="R4" s="1"/>
      <c r="S4" s="1"/>
      <c r="T4" s="1"/>
      <c r="U4" s="1"/>
      <c r="V4" s="1"/>
      <c r="W4" s="1"/>
      <c r="X4" s="1"/>
      <c r="Y4" s="1"/>
      <c r="Z4" s="1"/>
      <c r="AA4" s="1"/>
      <c r="AB4" s="1"/>
      <c r="AC4" s="1"/>
    </row>
    <row r="5" spans="1:29">
      <c r="A5" s="1" t="s">
        <v>737</v>
      </c>
      <c r="B5" s="1"/>
      <c r="C5" s="1"/>
      <c r="D5" s="1"/>
      <c r="E5" s="1" t="s">
        <v>551</v>
      </c>
      <c r="F5" s="1" t="s">
        <v>551</v>
      </c>
      <c r="G5" s="1" t="s">
        <v>551</v>
      </c>
      <c r="H5" s="1" t="s">
        <v>551</v>
      </c>
      <c r="I5" s="1" t="s">
        <v>551</v>
      </c>
      <c r="J5" s="1" t="s">
        <v>551</v>
      </c>
      <c r="K5" s="1" t="s">
        <v>551</v>
      </c>
      <c r="L5" s="1" t="s">
        <v>551</v>
      </c>
      <c r="M5" s="1" t="s">
        <v>551</v>
      </c>
      <c r="N5" s="1" t="s">
        <v>551</v>
      </c>
      <c r="O5" s="1" t="s">
        <v>551</v>
      </c>
      <c r="P5" s="1" t="s">
        <v>551</v>
      </c>
      <c r="Q5" s="1" t="s">
        <v>551</v>
      </c>
      <c r="R5" s="1" t="s">
        <v>551</v>
      </c>
      <c r="S5" s="1" t="s">
        <v>551</v>
      </c>
      <c r="T5" s="1" t="s">
        <v>551</v>
      </c>
      <c r="U5" s="1" t="s">
        <v>551</v>
      </c>
      <c r="V5" s="1" t="s">
        <v>551</v>
      </c>
      <c r="W5" s="1" t="s">
        <v>551</v>
      </c>
      <c r="X5" s="1" t="s">
        <v>551</v>
      </c>
      <c r="Y5" s="1" t="s">
        <v>551</v>
      </c>
      <c r="Z5" s="1" t="s">
        <v>551</v>
      </c>
      <c r="AA5" s="1" t="s">
        <v>215</v>
      </c>
      <c r="AB5" s="1" t="s">
        <v>215</v>
      </c>
      <c r="AC5" s="1" t="s">
        <v>215</v>
      </c>
    </row>
    <row r="6" spans="1:29">
      <c r="A6" s="42" t="s">
        <v>560</v>
      </c>
      <c r="B6" s="42"/>
      <c r="C6" s="42"/>
      <c r="D6" s="42"/>
      <c r="E6" s="34">
        <v>1992</v>
      </c>
      <c r="F6" s="34">
        <v>1993</v>
      </c>
      <c r="G6" s="34">
        <v>1994</v>
      </c>
      <c r="H6" s="34">
        <v>1995</v>
      </c>
      <c r="I6" s="34">
        <v>1996</v>
      </c>
      <c r="J6" s="34">
        <v>1997</v>
      </c>
      <c r="K6" s="34">
        <v>1998</v>
      </c>
      <c r="L6" s="34">
        <v>1999</v>
      </c>
      <c r="M6" s="34">
        <v>2000</v>
      </c>
      <c r="N6" s="34">
        <v>2001</v>
      </c>
      <c r="O6" s="34">
        <v>2002</v>
      </c>
      <c r="P6" s="34">
        <v>1992</v>
      </c>
      <c r="Q6" s="34">
        <v>1993</v>
      </c>
      <c r="R6" s="34">
        <v>1994</v>
      </c>
      <c r="S6" s="34">
        <v>1995</v>
      </c>
      <c r="T6" s="34">
        <v>1996</v>
      </c>
      <c r="U6" s="34">
        <v>1997</v>
      </c>
      <c r="V6" s="34">
        <v>1998</v>
      </c>
      <c r="W6" s="34">
        <v>1999</v>
      </c>
      <c r="X6" s="34">
        <v>2000</v>
      </c>
      <c r="Y6" s="34">
        <v>2001</v>
      </c>
      <c r="Z6" s="34">
        <v>2002</v>
      </c>
      <c r="AA6" s="34" t="s">
        <v>216</v>
      </c>
      <c r="AB6" s="34" t="s">
        <v>217</v>
      </c>
      <c r="AC6" s="34" t="s">
        <v>218</v>
      </c>
    </row>
    <row r="7" spans="1:29" ht="88">
      <c r="A7" s="7" t="s">
        <v>3334</v>
      </c>
      <c r="B7" s="1"/>
      <c r="C7" s="1"/>
      <c r="D7" s="1"/>
      <c r="E7" s="15" t="s">
        <v>857</v>
      </c>
      <c r="F7" s="15" t="s">
        <v>743</v>
      </c>
      <c r="G7" s="15" t="s">
        <v>744</v>
      </c>
      <c r="H7" s="15" t="s">
        <v>829</v>
      </c>
      <c r="I7" s="15" t="s">
        <v>844</v>
      </c>
      <c r="J7" s="15" t="s">
        <v>1048</v>
      </c>
      <c r="K7" s="15" t="s">
        <v>983</v>
      </c>
      <c r="L7" s="15" t="s">
        <v>754</v>
      </c>
      <c r="M7" s="15" t="s">
        <v>947</v>
      </c>
      <c r="N7" s="15" t="s">
        <v>938</v>
      </c>
      <c r="O7" s="15" t="s">
        <v>856</v>
      </c>
      <c r="P7" s="15" t="s">
        <v>907</v>
      </c>
      <c r="Q7" s="15" t="s">
        <v>1017</v>
      </c>
      <c r="R7" s="15" t="s">
        <v>963</v>
      </c>
      <c r="S7" s="15" t="s">
        <v>698</v>
      </c>
      <c r="T7" s="15" t="s">
        <v>885</v>
      </c>
      <c r="U7" s="15" t="s">
        <v>886</v>
      </c>
      <c r="V7" s="15" t="s">
        <v>961</v>
      </c>
      <c r="W7" s="15" t="s">
        <v>977</v>
      </c>
      <c r="X7" s="15" t="s">
        <v>978</v>
      </c>
      <c r="Y7" s="15" t="s">
        <v>982</v>
      </c>
      <c r="Z7" s="15" t="s">
        <v>834</v>
      </c>
      <c r="AA7" s="15" t="s">
        <v>274</v>
      </c>
      <c r="AB7" s="15" t="s">
        <v>204</v>
      </c>
      <c r="AC7" s="15" t="s">
        <v>205</v>
      </c>
    </row>
    <row r="8" spans="1:29">
      <c r="A8" s="9" t="s">
        <v>572</v>
      </c>
      <c r="B8" s="9" t="s">
        <v>770</v>
      </c>
      <c r="C8" s="9" t="s">
        <v>771</v>
      </c>
      <c r="D8" s="9" t="s">
        <v>772</v>
      </c>
      <c r="E8" s="9" t="s">
        <v>805</v>
      </c>
      <c r="F8" s="9" t="s">
        <v>858</v>
      </c>
      <c r="G8" s="9" t="s">
        <v>859</v>
      </c>
      <c r="H8" s="9" t="s">
        <v>860</v>
      </c>
      <c r="I8" s="9" t="s">
        <v>861</v>
      </c>
      <c r="J8" s="9" t="s">
        <v>943</v>
      </c>
      <c r="K8" s="9" t="s">
        <v>950</v>
      </c>
      <c r="L8" s="9" t="s">
        <v>801</v>
      </c>
      <c r="M8" s="9" t="s">
        <v>802</v>
      </c>
      <c r="N8" s="9" t="s">
        <v>803</v>
      </c>
      <c r="O8" s="9" t="s">
        <v>804</v>
      </c>
      <c r="P8" s="9" t="s">
        <v>833</v>
      </c>
      <c r="Q8" s="9" t="s">
        <v>908</v>
      </c>
      <c r="R8" s="9" t="s">
        <v>909</v>
      </c>
      <c r="S8" s="9" t="s">
        <v>910</v>
      </c>
      <c r="T8" s="9" t="s">
        <v>911</v>
      </c>
      <c r="U8" s="9" t="s">
        <v>912</v>
      </c>
      <c r="V8" s="9" t="s">
        <v>913</v>
      </c>
      <c r="W8" s="9" t="s">
        <v>914</v>
      </c>
      <c r="X8" s="9" t="s">
        <v>830</v>
      </c>
      <c r="Y8" s="9" t="s">
        <v>831</v>
      </c>
      <c r="Z8" s="9" t="s">
        <v>832</v>
      </c>
      <c r="AA8" s="9" t="s">
        <v>289</v>
      </c>
      <c r="AB8" s="9" t="s">
        <v>285</v>
      </c>
      <c r="AC8" s="9" t="s">
        <v>290</v>
      </c>
    </row>
    <row r="9" spans="1:29">
      <c r="A9" s="3" t="s">
        <v>850</v>
      </c>
      <c r="B9" s="3" t="s">
        <v>851</v>
      </c>
      <c r="C9" s="3">
        <v>1</v>
      </c>
      <c r="D9" s="3" t="s">
        <v>759</v>
      </c>
      <c r="E9" s="16">
        <v>39.9</v>
      </c>
      <c r="F9" s="16">
        <v>41.5</v>
      </c>
      <c r="G9" s="16">
        <v>41.8</v>
      </c>
      <c r="H9" s="16">
        <v>42.6</v>
      </c>
      <c r="I9" s="16">
        <v>43.3</v>
      </c>
      <c r="J9" s="16">
        <v>43.4</v>
      </c>
      <c r="K9" s="16">
        <v>43.8</v>
      </c>
      <c r="L9" s="16">
        <v>44.1</v>
      </c>
      <c r="M9" s="16">
        <v>43.2</v>
      </c>
      <c r="N9" s="16">
        <v>42.4</v>
      </c>
      <c r="O9" s="16">
        <v>43.4</v>
      </c>
      <c r="P9" s="16">
        <v>7.5</v>
      </c>
      <c r="Q9" s="16">
        <v>10.4</v>
      </c>
      <c r="R9" s="16">
        <v>14.9</v>
      </c>
      <c r="S9" s="16">
        <v>19</v>
      </c>
      <c r="T9" s="16">
        <v>21</v>
      </c>
      <c r="U9" s="16">
        <v>15.5</v>
      </c>
      <c r="V9" s="16">
        <v>14.9</v>
      </c>
      <c r="W9" s="16">
        <v>15.9</v>
      </c>
      <c r="X9" s="16">
        <v>16.5</v>
      </c>
      <c r="Y9" s="16">
        <v>20.7</v>
      </c>
      <c r="Z9" s="16">
        <v>20.6</v>
      </c>
      <c r="AA9" s="59">
        <v>0.17459678561670805</v>
      </c>
      <c r="AB9" s="59">
        <v>0.20709581556998788</v>
      </c>
      <c r="AC9" s="59">
        <v>0.16099722843234546</v>
      </c>
    </row>
    <row r="10" spans="1:29">
      <c r="A10" s="3" t="s">
        <v>667</v>
      </c>
      <c r="B10" s="3" t="s">
        <v>668</v>
      </c>
      <c r="C10" s="3">
        <v>2</v>
      </c>
      <c r="D10" s="3" t="s">
        <v>759</v>
      </c>
      <c r="E10" s="16">
        <v>46.7</v>
      </c>
      <c r="F10" s="16">
        <v>47.7</v>
      </c>
      <c r="G10" s="16">
        <v>46.4</v>
      </c>
      <c r="H10" s="16">
        <v>48.2</v>
      </c>
      <c r="I10" s="16">
        <v>48.9</v>
      </c>
      <c r="J10" s="16">
        <v>49.6</v>
      </c>
      <c r="K10" s="16">
        <v>49.8</v>
      </c>
      <c r="L10" s="16">
        <v>50.7</v>
      </c>
      <c r="M10" s="16">
        <v>51</v>
      </c>
      <c r="N10" s="16">
        <v>50.2</v>
      </c>
      <c r="O10" s="16">
        <v>52</v>
      </c>
      <c r="P10" s="16">
        <v>4.8</v>
      </c>
      <c r="Q10" s="16">
        <v>7.5</v>
      </c>
      <c r="R10" s="16">
        <v>8.6999999999999993</v>
      </c>
      <c r="S10" s="16">
        <v>13.3</v>
      </c>
      <c r="T10" s="16">
        <v>12.8</v>
      </c>
      <c r="U10" s="16">
        <v>11.1</v>
      </c>
      <c r="V10" s="16">
        <v>8.6</v>
      </c>
      <c r="W10" s="16">
        <v>10.3</v>
      </c>
      <c r="X10" s="16">
        <v>10.4</v>
      </c>
      <c r="Y10" s="16">
        <v>14.3</v>
      </c>
      <c r="Z10" s="16">
        <v>13.5</v>
      </c>
      <c r="AA10" s="59">
        <v>0.3537442581902196</v>
      </c>
      <c r="AB10" s="59">
        <v>0.35878428159561493</v>
      </c>
      <c r="AC10" s="59">
        <v>0.34121457315013287</v>
      </c>
    </row>
    <row r="11" spans="1:29">
      <c r="A11" s="3" t="s">
        <v>669</v>
      </c>
      <c r="B11" s="3" t="s">
        <v>663</v>
      </c>
      <c r="C11" s="3">
        <v>3</v>
      </c>
      <c r="D11" s="3" t="s">
        <v>664</v>
      </c>
      <c r="E11" s="16">
        <v>34.799999999999997</v>
      </c>
      <c r="F11" s="16">
        <v>35.4</v>
      </c>
      <c r="G11" s="16">
        <v>35.1</v>
      </c>
      <c r="H11" s="16">
        <v>34.6</v>
      </c>
      <c r="I11" s="16">
        <v>35.1</v>
      </c>
      <c r="J11" s="16">
        <v>37.200000000000003</v>
      </c>
      <c r="K11" s="16">
        <v>34.9</v>
      </c>
      <c r="L11" s="16">
        <v>38.799999999999997</v>
      </c>
      <c r="M11" s="16">
        <v>37.1</v>
      </c>
      <c r="N11" s="16">
        <v>38.700000000000003</v>
      </c>
      <c r="O11" s="16">
        <v>40.299999999999997</v>
      </c>
      <c r="P11" s="16">
        <v>5.9</v>
      </c>
      <c r="Q11" s="16">
        <v>9.6999999999999993</v>
      </c>
      <c r="R11" s="16">
        <v>7.5</v>
      </c>
      <c r="S11" s="16">
        <v>12.1</v>
      </c>
      <c r="T11" s="16">
        <v>12.7</v>
      </c>
      <c r="U11" s="16">
        <v>13.2</v>
      </c>
      <c r="V11" s="16">
        <v>12.5</v>
      </c>
      <c r="W11" s="16">
        <v>16</v>
      </c>
      <c r="X11" s="16">
        <v>16.8</v>
      </c>
      <c r="Y11" s="16">
        <v>19</v>
      </c>
      <c r="Z11" s="16">
        <v>20.5</v>
      </c>
      <c r="AA11" s="59">
        <v>5.1156025878930735E-2</v>
      </c>
      <c r="AB11" s="59">
        <v>9.8216149190330625E-3</v>
      </c>
      <c r="AC11" s="59">
        <v>2.1750005437501359E-3</v>
      </c>
    </row>
    <row r="12" spans="1:29">
      <c r="A12" s="3" t="s">
        <v>665</v>
      </c>
      <c r="B12" s="3" t="s">
        <v>640</v>
      </c>
      <c r="C12" s="3">
        <v>4</v>
      </c>
      <c r="D12" s="3" t="s">
        <v>641</v>
      </c>
      <c r="E12" s="16">
        <v>34.299999999999997</v>
      </c>
      <c r="F12" s="16">
        <v>35</v>
      </c>
      <c r="G12" s="16">
        <v>33.4</v>
      </c>
      <c r="H12" s="16">
        <v>33.200000000000003</v>
      </c>
      <c r="I12" s="16">
        <v>33.6</v>
      </c>
      <c r="J12" s="16">
        <v>34.299999999999997</v>
      </c>
      <c r="K12" s="16">
        <v>32.5</v>
      </c>
      <c r="L12" s="16">
        <v>33.9</v>
      </c>
      <c r="M12" s="16">
        <v>34.5</v>
      </c>
      <c r="N12" s="16">
        <v>34.9</v>
      </c>
      <c r="O12" s="16">
        <v>36</v>
      </c>
      <c r="P12" s="16">
        <v>5.4</v>
      </c>
      <c r="Q12" s="16">
        <v>7.9</v>
      </c>
      <c r="R12" s="16">
        <v>11</v>
      </c>
      <c r="S12" s="16">
        <v>12.8</v>
      </c>
      <c r="T12" s="16">
        <v>14.9</v>
      </c>
      <c r="U12" s="16">
        <v>10.1</v>
      </c>
      <c r="V12" s="16">
        <v>11.3</v>
      </c>
      <c r="W12" s="16">
        <v>12.4</v>
      </c>
      <c r="X12" s="16">
        <v>11.3</v>
      </c>
      <c r="Y12" s="16">
        <v>15.9</v>
      </c>
      <c r="Z12" s="16">
        <v>17.399999999999999</v>
      </c>
      <c r="AA12" s="59">
        <v>4.5382924802023362E-2</v>
      </c>
      <c r="AB12" s="59">
        <v>7.0836257765993407E-2</v>
      </c>
      <c r="AC12" s="59">
        <v>2.1690596861740963E-2</v>
      </c>
    </row>
    <row r="13" spans="1:29">
      <c r="A13" s="3" t="s">
        <v>539</v>
      </c>
      <c r="B13" s="3" t="s">
        <v>540</v>
      </c>
      <c r="C13" s="3">
        <v>5</v>
      </c>
      <c r="D13" s="3" t="s">
        <v>541</v>
      </c>
      <c r="E13" s="16">
        <v>39.4</v>
      </c>
      <c r="F13" s="16">
        <v>38.4</v>
      </c>
      <c r="G13" s="16">
        <v>38</v>
      </c>
      <c r="H13" s="16">
        <v>38.700000000000003</v>
      </c>
      <c r="I13" s="16">
        <v>38.6</v>
      </c>
      <c r="J13" s="16">
        <v>39.4</v>
      </c>
      <c r="K13" s="16">
        <v>39.700000000000003</v>
      </c>
      <c r="L13" s="16">
        <v>39.1</v>
      </c>
      <c r="M13" s="16">
        <v>40.1</v>
      </c>
      <c r="N13" s="16">
        <v>39.200000000000003</v>
      </c>
      <c r="O13" s="16">
        <v>39.9</v>
      </c>
      <c r="P13" s="16">
        <v>13.9</v>
      </c>
      <c r="Q13" s="16">
        <v>11.6</v>
      </c>
      <c r="R13" s="16">
        <v>12.5</v>
      </c>
      <c r="S13" s="16">
        <v>14.5</v>
      </c>
      <c r="T13" s="16">
        <v>11.9</v>
      </c>
      <c r="U13" s="16">
        <v>11.8</v>
      </c>
      <c r="V13" s="16">
        <v>12.8</v>
      </c>
      <c r="W13" s="16">
        <v>11.8</v>
      </c>
      <c r="X13" s="16">
        <v>13.3</v>
      </c>
      <c r="Y13" s="16">
        <v>14.1</v>
      </c>
      <c r="Z13" s="16">
        <v>14.2</v>
      </c>
      <c r="AA13" s="59">
        <v>5.5888624721194144</v>
      </c>
      <c r="AB13" s="59">
        <v>6.9334902884049434</v>
      </c>
      <c r="AC13" s="59">
        <v>8.6821446704562799</v>
      </c>
    </row>
    <row r="14" spans="1:29">
      <c r="A14" s="3" t="s">
        <v>542</v>
      </c>
      <c r="B14" s="3" t="s">
        <v>543</v>
      </c>
      <c r="C14" s="3">
        <v>6</v>
      </c>
      <c r="D14" s="3" t="s">
        <v>759</v>
      </c>
      <c r="E14" s="16">
        <v>37.5</v>
      </c>
      <c r="F14" s="16">
        <v>38.4</v>
      </c>
      <c r="G14" s="16">
        <v>39.200000000000003</v>
      </c>
      <c r="H14" s="16">
        <v>38.4</v>
      </c>
      <c r="I14" s="17"/>
      <c r="J14" s="16">
        <v>41.7</v>
      </c>
      <c r="K14" s="16">
        <v>40</v>
      </c>
      <c r="L14" s="16">
        <v>40.9</v>
      </c>
      <c r="M14" s="16">
        <v>40.9</v>
      </c>
      <c r="N14" s="16">
        <v>37</v>
      </c>
      <c r="O14" s="16">
        <v>40.5</v>
      </c>
      <c r="P14" s="16">
        <v>5.3</v>
      </c>
      <c r="Q14" s="16">
        <v>6.8</v>
      </c>
      <c r="R14" s="16">
        <v>9.6</v>
      </c>
      <c r="S14" s="16">
        <v>15.9</v>
      </c>
      <c r="T14" s="16">
        <v>16.100000000000001</v>
      </c>
      <c r="U14" s="16">
        <v>12.8</v>
      </c>
      <c r="V14" s="16">
        <v>13.6</v>
      </c>
      <c r="W14" s="16">
        <v>12.5</v>
      </c>
      <c r="X14" s="16">
        <v>15.9</v>
      </c>
      <c r="Y14" s="16">
        <v>19.399999999999999</v>
      </c>
      <c r="Z14" s="17"/>
      <c r="AA14" s="59">
        <v>6.6986821140402789E-2</v>
      </c>
      <c r="AB14" s="59">
        <v>8.4021735716304932E-2</v>
      </c>
      <c r="AC14" s="59">
        <v>5.8186413829781167E-2</v>
      </c>
    </row>
    <row r="15" spans="1:29">
      <c r="A15" s="3" t="s">
        <v>628</v>
      </c>
      <c r="B15" s="3" t="s">
        <v>629</v>
      </c>
      <c r="C15" s="3">
        <v>7</v>
      </c>
      <c r="D15" s="3" t="s">
        <v>641</v>
      </c>
      <c r="E15" s="16">
        <v>31</v>
      </c>
      <c r="F15" s="16">
        <v>31.9</v>
      </c>
      <c r="G15" s="16">
        <v>31.8</v>
      </c>
      <c r="H15" s="16">
        <v>35.9</v>
      </c>
      <c r="I15" s="16">
        <v>35.5</v>
      </c>
      <c r="J15" s="16">
        <v>36.9</v>
      </c>
      <c r="K15" s="16">
        <v>36.299999999999997</v>
      </c>
      <c r="L15" s="16">
        <v>35.5</v>
      </c>
      <c r="M15" s="16">
        <v>34.799999999999997</v>
      </c>
      <c r="N15" s="16">
        <v>38</v>
      </c>
      <c r="O15" s="16">
        <v>38.799999999999997</v>
      </c>
      <c r="P15" s="16">
        <v>3.6</v>
      </c>
      <c r="Q15" s="16">
        <v>7.7</v>
      </c>
      <c r="R15" s="16">
        <v>9.6</v>
      </c>
      <c r="S15" s="16">
        <v>14.9</v>
      </c>
      <c r="T15" s="16">
        <v>15.4</v>
      </c>
      <c r="U15" s="16">
        <v>13.4</v>
      </c>
      <c r="V15" s="16">
        <v>12</v>
      </c>
      <c r="W15" s="16">
        <v>13.8</v>
      </c>
      <c r="X15" s="16">
        <v>16.7</v>
      </c>
      <c r="Y15" s="16">
        <v>19.8</v>
      </c>
      <c r="Z15" s="16">
        <v>19.7</v>
      </c>
      <c r="AA15" s="59">
        <v>2.7807433522854235E-2</v>
      </c>
      <c r="AB15" s="59">
        <v>0</v>
      </c>
      <c r="AC15" s="59">
        <v>1.5202189115232597E-3</v>
      </c>
    </row>
    <row r="16" spans="1:29">
      <c r="A16" s="3" t="s">
        <v>630</v>
      </c>
      <c r="B16" s="3" t="s">
        <v>631</v>
      </c>
      <c r="C16" s="3">
        <v>8</v>
      </c>
      <c r="D16" s="3" t="s">
        <v>759</v>
      </c>
      <c r="E16" s="16">
        <v>36.6</v>
      </c>
      <c r="F16" s="16">
        <v>34.299999999999997</v>
      </c>
      <c r="G16" s="16">
        <v>34.5</v>
      </c>
      <c r="H16" s="16">
        <v>36</v>
      </c>
      <c r="I16" s="16">
        <v>36.299999999999997</v>
      </c>
      <c r="J16" s="16">
        <v>36.5</v>
      </c>
      <c r="K16" s="16">
        <v>37.799999999999997</v>
      </c>
      <c r="L16" s="16">
        <v>39.299999999999997</v>
      </c>
      <c r="M16" s="16">
        <v>38.6</v>
      </c>
      <c r="N16" s="16">
        <v>39.5</v>
      </c>
      <c r="O16" s="16">
        <v>37.5</v>
      </c>
      <c r="P16" s="16">
        <v>7.1</v>
      </c>
      <c r="Q16" s="16">
        <v>7.5</v>
      </c>
      <c r="R16" s="16">
        <v>8.8000000000000007</v>
      </c>
      <c r="S16" s="16">
        <v>13.2</v>
      </c>
      <c r="T16" s="16">
        <v>10.7</v>
      </c>
      <c r="U16" s="16">
        <v>12.2</v>
      </c>
      <c r="V16" s="16">
        <v>10</v>
      </c>
      <c r="W16" s="16">
        <v>13.3</v>
      </c>
      <c r="X16" s="16">
        <v>13.5</v>
      </c>
      <c r="Y16" s="16">
        <v>17.7</v>
      </c>
      <c r="Z16" s="16">
        <v>15.4</v>
      </c>
      <c r="AA16" s="59">
        <v>4.031881077038145E-2</v>
      </c>
      <c r="AB16" s="59">
        <v>2.8298060325176153E-2</v>
      </c>
      <c r="AC16" s="59">
        <v>8.2067899273566697E-3</v>
      </c>
    </row>
    <row r="17" spans="1:29">
      <c r="A17" s="3" t="s">
        <v>632</v>
      </c>
      <c r="B17" s="3" t="s">
        <v>633</v>
      </c>
      <c r="C17" s="3">
        <v>9</v>
      </c>
      <c r="D17" s="3" t="s">
        <v>641</v>
      </c>
      <c r="E17" s="16">
        <v>33.799999999999997</v>
      </c>
      <c r="F17" s="16">
        <v>33.700000000000003</v>
      </c>
      <c r="G17" s="16">
        <v>33</v>
      </c>
      <c r="H17" s="16">
        <v>33</v>
      </c>
      <c r="I17" s="16">
        <v>31</v>
      </c>
      <c r="J17" s="16">
        <v>33.5</v>
      </c>
      <c r="K17" s="16">
        <v>34.299999999999997</v>
      </c>
      <c r="L17" s="16">
        <v>32.799999999999997</v>
      </c>
      <c r="M17" s="16">
        <v>31</v>
      </c>
      <c r="N17" s="16">
        <v>31.5</v>
      </c>
      <c r="O17" s="16">
        <v>33.700000000000003</v>
      </c>
      <c r="P17" s="16">
        <v>8.9</v>
      </c>
      <c r="Q17" s="16">
        <v>8.3000000000000007</v>
      </c>
      <c r="R17" s="16">
        <v>6.8</v>
      </c>
      <c r="S17" s="16">
        <v>6.7</v>
      </c>
      <c r="T17" s="16">
        <v>8.1</v>
      </c>
      <c r="U17" s="16">
        <v>6.3</v>
      </c>
      <c r="V17" s="16">
        <v>6.9</v>
      </c>
      <c r="W17" s="16">
        <v>8.1999999999999993</v>
      </c>
      <c r="X17" s="16">
        <v>11.1</v>
      </c>
      <c r="Y17" s="16">
        <v>14.5</v>
      </c>
      <c r="Z17" s="16">
        <v>9.1999999999999993</v>
      </c>
      <c r="AA17" s="59">
        <v>0.11776501106036254</v>
      </c>
      <c r="AB17" s="59">
        <v>0.19273295327747458</v>
      </c>
      <c r="AC17" s="59">
        <v>0.280086599748679</v>
      </c>
    </row>
    <row r="18" spans="1:29">
      <c r="A18" s="3" t="s">
        <v>634</v>
      </c>
      <c r="B18" s="3" t="s">
        <v>715</v>
      </c>
      <c r="C18" s="3">
        <v>10</v>
      </c>
      <c r="D18" s="3" t="s">
        <v>664</v>
      </c>
      <c r="E18" s="16">
        <v>33.1</v>
      </c>
      <c r="F18" s="16">
        <v>32.5</v>
      </c>
      <c r="G18" s="16">
        <v>33.1</v>
      </c>
      <c r="H18" s="16">
        <v>31.9</v>
      </c>
      <c r="I18" s="16">
        <v>30.3</v>
      </c>
      <c r="J18" s="16">
        <v>35</v>
      </c>
      <c r="K18" s="16">
        <v>32.799999999999997</v>
      </c>
      <c r="L18" s="16">
        <v>33.299999999999997</v>
      </c>
      <c r="M18" s="16">
        <v>35.700000000000003</v>
      </c>
      <c r="N18" s="16">
        <v>35</v>
      </c>
      <c r="O18" s="16">
        <v>38.1</v>
      </c>
      <c r="P18" s="16">
        <v>6.6</v>
      </c>
      <c r="Q18" s="16">
        <v>6.5</v>
      </c>
      <c r="R18" s="16">
        <v>9.6999999999999993</v>
      </c>
      <c r="S18" s="16">
        <v>12.4</v>
      </c>
      <c r="T18" s="16">
        <v>12.5</v>
      </c>
      <c r="U18" s="16">
        <v>15.5</v>
      </c>
      <c r="V18" s="16">
        <v>15.6</v>
      </c>
      <c r="W18" s="16">
        <v>16.100000000000001</v>
      </c>
      <c r="X18" s="16">
        <v>19.100000000000001</v>
      </c>
      <c r="Y18" s="16">
        <v>19.5</v>
      </c>
      <c r="Z18" s="16">
        <v>20.5</v>
      </c>
      <c r="AA18" s="59">
        <v>1.9067473432653682E-2</v>
      </c>
      <c r="AB18" s="59">
        <v>1.8229694146242658E-2</v>
      </c>
      <c r="AC18" s="59">
        <v>8.7480496419175172E-2</v>
      </c>
    </row>
    <row r="19" spans="1:29">
      <c r="A19" s="3" t="s">
        <v>716</v>
      </c>
      <c r="B19" s="3" t="s">
        <v>717</v>
      </c>
      <c r="C19" s="3">
        <v>11</v>
      </c>
      <c r="D19" s="3" t="s">
        <v>541</v>
      </c>
      <c r="E19" s="16">
        <v>38.700000000000003</v>
      </c>
      <c r="F19" s="16">
        <v>39.799999999999997</v>
      </c>
      <c r="G19" s="16">
        <v>40.5</v>
      </c>
      <c r="H19" s="16">
        <v>41.4</v>
      </c>
      <c r="I19" s="16">
        <v>41.4</v>
      </c>
      <c r="J19" s="16">
        <v>42.1</v>
      </c>
      <c r="K19" s="16">
        <v>44.3</v>
      </c>
      <c r="L19" s="16">
        <v>43.8</v>
      </c>
      <c r="M19" s="16">
        <v>42.6</v>
      </c>
      <c r="N19" s="16">
        <v>44.2</v>
      </c>
      <c r="O19" s="16">
        <v>42.9</v>
      </c>
      <c r="P19" s="16">
        <v>2.4</v>
      </c>
      <c r="Q19" s="16">
        <v>5.3</v>
      </c>
      <c r="R19" s="16">
        <v>5.3</v>
      </c>
      <c r="S19" s="16">
        <v>10.6</v>
      </c>
      <c r="T19" s="16">
        <v>8.6</v>
      </c>
      <c r="U19" s="16">
        <v>9.3000000000000007</v>
      </c>
      <c r="V19" s="16">
        <v>11.3</v>
      </c>
      <c r="W19" s="16">
        <v>10.7</v>
      </c>
      <c r="X19" s="16">
        <v>11.2</v>
      </c>
      <c r="Y19" s="16">
        <v>15.2</v>
      </c>
      <c r="Z19" s="16">
        <v>14</v>
      </c>
      <c r="AA19" s="59">
        <v>1.7807694704881978E-2</v>
      </c>
      <c r="AB19" s="59">
        <v>0.1579559114254776</v>
      </c>
      <c r="AC19" s="59">
        <v>0.38955378384759276</v>
      </c>
    </row>
    <row r="20" spans="1:29">
      <c r="A20" s="3" t="s">
        <v>718</v>
      </c>
      <c r="B20" s="3" t="s">
        <v>719</v>
      </c>
      <c r="C20" s="3">
        <v>12</v>
      </c>
      <c r="D20" s="3" t="s">
        <v>664</v>
      </c>
      <c r="E20" s="16">
        <v>35.799999999999997</v>
      </c>
      <c r="F20" s="16">
        <v>34.799999999999997</v>
      </c>
      <c r="G20" s="16">
        <v>35.700000000000003</v>
      </c>
      <c r="H20" s="16">
        <v>36.200000000000003</v>
      </c>
      <c r="I20" s="16">
        <v>35</v>
      </c>
      <c r="J20" s="16">
        <v>36.6</v>
      </c>
      <c r="K20" s="16">
        <v>36.5</v>
      </c>
      <c r="L20" s="16">
        <v>37.799999999999997</v>
      </c>
      <c r="M20" s="16">
        <v>38.200000000000003</v>
      </c>
      <c r="N20" s="16">
        <v>36.6</v>
      </c>
      <c r="O20" s="16">
        <v>38.6</v>
      </c>
      <c r="P20" s="16">
        <v>8.6999999999999993</v>
      </c>
      <c r="Q20" s="16">
        <v>5.7</v>
      </c>
      <c r="R20" s="16">
        <v>10.9</v>
      </c>
      <c r="S20" s="16">
        <v>11.3</v>
      </c>
      <c r="T20" s="16">
        <v>10.5</v>
      </c>
      <c r="U20" s="16">
        <v>9.6999999999999993</v>
      </c>
      <c r="V20" s="16">
        <v>7.6</v>
      </c>
      <c r="W20" s="16">
        <v>7.2</v>
      </c>
      <c r="X20" s="16">
        <v>12.1</v>
      </c>
      <c r="Y20" s="16">
        <v>13.8</v>
      </c>
      <c r="Z20" s="16">
        <v>13.6</v>
      </c>
      <c r="AA20" s="59">
        <v>4.6533271288971619E-2</v>
      </c>
      <c r="AB20" s="59">
        <v>2.1337215869868087E-2</v>
      </c>
      <c r="AC20" s="59">
        <v>7.1754885311774959E-3</v>
      </c>
    </row>
    <row r="21" spans="1:29">
      <c r="A21" s="3" t="s">
        <v>711</v>
      </c>
      <c r="B21" s="3" t="s">
        <v>712</v>
      </c>
      <c r="C21" s="3">
        <v>13</v>
      </c>
      <c r="D21" s="3" t="s">
        <v>713</v>
      </c>
      <c r="E21" s="16">
        <v>40.200000000000003</v>
      </c>
      <c r="F21" s="16">
        <v>37.299999999999997</v>
      </c>
      <c r="G21" s="16">
        <v>38.5</v>
      </c>
      <c r="H21" s="16">
        <v>37.5</v>
      </c>
      <c r="I21" s="16">
        <v>39.200000000000003</v>
      </c>
      <c r="J21" s="16">
        <v>37.700000000000003</v>
      </c>
      <c r="K21" s="16">
        <v>37.5</v>
      </c>
      <c r="L21" s="16">
        <v>39.299999999999997</v>
      </c>
      <c r="M21" s="16">
        <v>39.4</v>
      </c>
      <c r="N21" s="16">
        <v>39.4</v>
      </c>
      <c r="O21" s="16">
        <v>39</v>
      </c>
      <c r="P21" s="16">
        <v>4.4000000000000004</v>
      </c>
      <c r="Q21" s="16">
        <v>4.5999999999999996</v>
      </c>
      <c r="R21" s="16">
        <v>5.0999999999999996</v>
      </c>
      <c r="S21" s="16">
        <v>6.7</v>
      </c>
      <c r="T21" s="16">
        <v>6.6</v>
      </c>
      <c r="U21" s="16">
        <v>6.1</v>
      </c>
      <c r="V21" s="16">
        <v>5.7</v>
      </c>
      <c r="W21" s="16">
        <v>6.8</v>
      </c>
      <c r="X21" s="16">
        <v>10</v>
      </c>
      <c r="Y21" s="16">
        <v>13.5</v>
      </c>
      <c r="Z21" s="16">
        <v>11.5</v>
      </c>
      <c r="AA21" s="59">
        <v>1.5151305375182873</v>
      </c>
      <c r="AB21" s="59">
        <v>1.3770881395987726</v>
      </c>
      <c r="AC21" s="59">
        <v>1.3134385807682145</v>
      </c>
    </row>
    <row r="22" spans="1:29">
      <c r="A22" s="3" t="s">
        <v>714</v>
      </c>
      <c r="B22" s="3" t="s">
        <v>530</v>
      </c>
      <c r="C22" s="3">
        <v>14</v>
      </c>
      <c r="D22" s="3" t="s">
        <v>641</v>
      </c>
      <c r="E22" s="16">
        <v>36.4</v>
      </c>
      <c r="F22" s="16">
        <v>39.1</v>
      </c>
      <c r="G22" s="16">
        <v>35.6</v>
      </c>
      <c r="H22" s="16">
        <v>36.1</v>
      </c>
      <c r="I22" s="16">
        <v>35.1</v>
      </c>
      <c r="J22" s="16">
        <v>35.5</v>
      </c>
      <c r="K22" s="16">
        <v>35.5</v>
      </c>
      <c r="L22" s="16">
        <v>35.200000000000003</v>
      </c>
      <c r="M22" s="16">
        <v>36.200000000000003</v>
      </c>
      <c r="N22" s="16">
        <v>34.1</v>
      </c>
      <c r="O22" s="16">
        <v>35.5</v>
      </c>
      <c r="P22" s="16">
        <v>5.8</v>
      </c>
      <c r="Q22" s="16">
        <v>6.5</v>
      </c>
      <c r="R22" s="16">
        <v>8.3000000000000007</v>
      </c>
      <c r="S22" s="16">
        <v>7.8</v>
      </c>
      <c r="T22" s="16">
        <v>7.5</v>
      </c>
      <c r="U22" s="16">
        <v>4.9000000000000004</v>
      </c>
      <c r="V22" s="16">
        <v>4.8</v>
      </c>
      <c r="W22" s="16">
        <v>5.6</v>
      </c>
      <c r="X22" s="16">
        <v>7.1</v>
      </c>
      <c r="Y22" s="16">
        <v>6.8</v>
      </c>
      <c r="Z22" s="16">
        <v>9.6999999999999993</v>
      </c>
      <c r="AA22" s="59">
        <v>1.6914034420060045E-3</v>
      </c>
      <c r="AB22" s="59">
        <v>2.7198973238760239E-2</v>
      </c>
      <c r="AC22" s="59">
        <v>3.7866452594987997E-4</v>
      </c>
    </row>
    <row r="23" spans="1:29">
      <c r="A23" s="3" t="s">
        <v>620</v>
      </c>
      <c r="B23" s="3" t="s">
        <v>621</v>
      </c>
      <c r="C23" s="3">
        <v>15</v>
      </c>
      <c r="D23" s="3" t="s">
        <v>541</v>
      </c>
      <c r="E23" s="16">
        <v>39.6</v>
      </c>
      <c r="F23" s="16">
        <v>40.6</v>
      </c>
      <c r="G23" s="16">
        <v>40.4</v>
      </c>
      <c r="H23" s="16">
        <v>40</v>
      </c>
      <c r="I23" s="16">
        <v>41.8</v>
      </c>
      <c r="J23" s="16">
        <v>40.5</v>
      </c>
      <c r="K23" s="16">
        <v>41.2</v>
      </c>
      <c r="L23" s="16">
        <v>42.1</v>
      </c>
      <c r="M23" s="16">
        <v>43</v>
      </c>
      <c r="N23" s="16">
        <v>43.6</v>
      </c>
      <c r="O23" s="16">
        <v>42.9</v>
      </c>
      <c r="P23" s="16">
        <v>8.9</v>
      </c>
      <c r="Q23" s="16">
        <v>11.5</v>
      </c>
      <c r="R23" s="16">
        <v>13.5</v>
      </c>
      <c r="S23" s="16">
        <v>16.5</v>
      </c>
      <c r="T23" s="16">
        <v>12.3</v>
      </c>
      <c r="U23" s="16">
        <v>11.3</v>
      </c>
      <c r="V23" s="16">
        <v>12.2</v>
      </c>
      <c r="W23" s="16">
        <v>12</v>
      </c>
      <c r="X23" s="16">
        <v>14</v>
      </c>
      <c r="Y23" s="16">
        <v>16.7</v>
      </c>
      <c r="Z23" s="16">
        <v>18</v>
      </c>
      <c r="AA23" s="59">
        <v>7.6503404013599088</v>
      </c>
      <c r="AB23" s="59">
        <v>10.740698023113653</v>
      </c>
      <c r="AC23" s="59">
        <v>11.047842246919458</v>
      </c>
    </row>
    <row r="24" spans="1:29">
      <c r="A24" s="3" t="s">
        <v>622</v>
      </c>
      <c r="B24" s="3" t="s">
        <v>925</v>
      </c>
      <c r="C24" s="3">
        <v>16</v>
      </c>
      <c r="D24" s="3" t="s">
        <v>541</v>
      </c>
      <c r="E24" s="17"/>
      <c r="F24" s="17"/>
      <c r="G24" s="17"/>
      <c r="H24" s="17"/>
      <c r="I24" s="17"/>
      <c r="J24" s="17"/>
      <c r="K24" s="17"/>
      <c r="L24" s="17"/>
      <c r="M24" s="17"/>
      <c r="N24" s="17"/>
      <c r="O24" s="16">
        <v>44.2</v>
      </c>
      <c r="P24" s="17"/>
      <c r="Q24" s="17"/>
      <c r="R24" s="17"/>
      <c r="S24" s="17"/>
      <c r="T24" s="17"/>
      <c r="U24" s="17"/>
      <c r="V24" s="17"/>
      <c r="W24" s="17"/>
      <c r="X24" s="17"/>
      <c r="Y24" s="17"/>
      <c r="Z24" s="16">
        <v>14.6</v>
      </c>
      <c r="AA24" s="59">
        <v>0.87828330206378979</v>
      </c>
      <c r="AB24" s="59">
        <v>0.9967994524849535</v>
      </c>
      <c r="AC24" s="59">
        <v>1.234505845807405</v>
      </c>
    </row>
    <row r="25" spans="1:29">
      <c r="A25" s="3" t="s">
        <v>926</v>
      </c>
      <c r="B25" s="3" t="s">
        <v>927</v>
      </c>
      <c r="C25" s="3">
        <v>17</v>
      </c>
      <c r="D25" s="3" t="s">
        <v>664</v>
      </c>
      <c r="E25" s="16">
        <v>36.9</v>
      </c>
      <c r="F25" s="16">
        <v>36.1</v>
      </c>
      <c r="G25" s="16">
        <v>37.6</v>
      </c>
      <c r="H25" s="16">
        <v>36.5</v>
      </c>
      <c r="I25" s="16">
        <v>36.9</v>
      </c>
      <c r="J25" s="16">
        <v>38</v>
      </c>
      <c r="K25" s="16">
        <v>38.9</v>
      </c>
      <c r="L25" s="16">
        <v>40.4</v>
      </c>
      <c r="M25" s="16">
        <v>38.9</v>
      </c>
      <c r="N25" s="16">
        <v>39.4</v>
      </c>
      <c r="O25" s="16">
        <v>37.6</v>
      </c>
      <c r="P25" s="16">
        <v>9.8000000000000007</v>
      </c>
      <c r="Q25" s="16">
        <v>10.1</v>
      </c>
      <c r="R25" s="16">
        <v>13.3</v>
      </c>
      <c r="S25" s="16">
        <v>15.7</v>
      </c>
      <c r="T25" s="16">
        <v>16.3</v>
      </c>
      <c r="U25" s="16">
        <v>14.3</v>
      </c>
      <c r="V25" s="16">
        <v>12</v>
      </c>
      <c r="W25" s="16">
        <v>14.1</v>
      </c>
      <c r="X25" s="16">
        <v>14.9</v>
      </c>
      <c r="Y25" s="16">
        <v>18.3</v>
      </c>
      <c r="Z25" s="16">
        <v>17.7</v>
      </c>
      <c r="AA25" s="59">
        <v>0.84361853705116985</v>
      </c>
      <c r="AB25" s="59">
        <v>0.97488828996355448</v>
      </c>
      <c r="AC25" s="59">
        <v>0.90140971622762089</v>
      </c>
    </row>
    <row r="26" spans="1:29">
      <c r="A26" s="3" t="s">
        <v>928</v>
      </c>
      <c r="B26" s="3" t="s">
        <v>929</v>
      </c>
      <c r="C26" s="3">
        <v>18</v>
      </c>
      <c r="D26" s="3" t="s">
        <v>713</v>
      </c>
      <c r="E26" s="16">
        <v>35.6</v>
      </c>
      <c r="F26" s="16">
        <v>36</v>
      </c>
      <c r="G26" s="16">
        <v>36.9</v>
      </c>
      <c r="H26" s="16">
        <v>37</v>
      </c>
      <c r="I26" s="16">
        <v>36</v>
      </c>
      <c r="J26" s="16">
        <v>37.200000000000003</v>
      </c>
      <c r="K26" s="16">
        <v>37.700000000000003</v>
      </c>
      <c r="L26" s="16">
        <v>37.5</v>
      </c>
      <c r="M26" s="16">
        <v>38.5</v>
      </c>
      <c r="N26" s="16">
        <v>39.299999999999997</v>
      </c>
      <c r="O26" s="16">
        <v>39.200000000000003</v>
      </c>
      <c r="P26" s="16">
        <v>9.3000000000000007</v>
      </c>
      <c r="Q26" s="16">
        <v>6</v>
      </c>
      <c r="R26" s="16">
        <v>8.1</v>
      </c>
      <c r="S26" s="16">
        <v>13.9</v>
      </c>
      <c r="T26" s="16">
        <v>9.6</v>
      </c>
      <c r="U26" s="16">
        <v>8.6</v>
      </c>
      <c r="V26" s="16">
        <v>7.1</v>
      </c>
      <c r="W26" s="16">
        <v>10.199999999999999</v>
      </c>
      <c r="X26" s="16">
        <v>12.8</v>
      </c>
      <c r="Y26" s="16">
        <v>16.399999999999999</v>
      </c>
      <c r="Z26" s="16">
        <v>13.4</v>
      </c>
      <c r="AA26" s="59">
        <v>4.0441622517895411E-3</v>
      </c>
      <c r="AB26" s="59">
        <v>0</v>
      </c>
      <c r="AC26" s="59">
        <v>1.3363088477008807E-3</v>
      </c>
    </row>
    <row r="27" spans="1:29">
      <c r="A27" s="3" t="s">
        <v>841</v>
      </c>
      <c r="B27" s="3" t="s">
        <v>659</v>
      </c>
      <c r="C27" s="3">
        <v>19</v>
      </c>
      <c r="D27" s="3" t="s">
        <v>713</v>
      </c>
      <c r="E27" s="16">
        <v>38.1</v>
      </c>
      <c r="F27" s="16">
        <v>39.799999999999997</v>
      </c>
      <c r="G27" s="16">
        <v>39.799999999999997</v>
      </c>
      <c r="H27" s="16">
        <v>38.200000000000003</v>
      </c>
      <c r="I27" s="16">
        <v>37.299999999999997</v>
      </c>
      <c r="J27" s="16">
        <v>38.9</v>
      </c>
      <c r="K27" s="16">
        <v>37</v>
      </c>
      <c r="L27" s="16">
        <v>36.799999999999997</v>
      </c>
      <c r="M27" s="16">
        <v>40.200000000000003</v>
      </c>
      <c r="N27" s="16">
        <v>37.1</v>
      </c>
      <c r="O27" s="16">
        <v>38.700000000000003</v>
      </c>
      <c r="P27" s="16">
        <v>6.7</v>
      </c>
      <c r="Q27" s="16">
        <v>8.9</v>
      </c>
      <c r="R27" s="16">
        <v>6.7</v>
      </c>
      <c r="S27" s="16">
        <v>10.4</v>
      </c>
      <c r="T27" s="16">
        <v>8.5</v>
      </c>
      <c r="U27" s="16">
        <v>11.5</v>
      </c>
      <c r="V27" s="16">
        <v>6</v>
      </c>
      <c r="W27" s="16">
        <v>6.3</v>
      </c>
      <c r="X27" s="16">
        <v>9.4</v>
      </c>
      <c r="Y27" s="16">
        <v>12.2</v>
      </c>
      <c r="Z27" s="16">
        <v>12.6</v>
      </c>
      <c r="AA27" s="59">
        <v>0.14951510000102408</v>
      </c>
      <c r="AB27" s="59">
        <v>9.1199270405836752E-2</v>
      </c>
      <c r="AC27" s="59">
        <v>8.9855728145578836E-2</v>
      </c>
    </row>
    <row r="28" spans="1:29">
      <c r="A28" s="3" t="s">
        <v>660</v>
      </c>
      <c r="B28" s="3" t="s">
        <v>661</v>
      </c>
      <c r="C28" s="3">
        <v>20</v>
      </c>
      <c r="D28" s="3" t="s">
        <v>541</v>
      </c>
      <c r="E28" s="16">
        <v>37.4</v>
      </c>
      <c r="F28" s="16">
        <v>37.799999999999997</v>
      </c>
      <c r="G28" s="16">
        <v>37.799999999999997</v>
      </c>
      <c r="H28" s="16">
        <v>38.5</v>
      </c>
      <c r="I28" s="16">
        <v>38.1</v>
      </c>
      <c r="J28" s="16">
        <v>37.700000000000003</v>
      </c>
      <c r="K28" s="16">
        <v>38.200000000000003</v>
      </c>
      <c r="L28" s="16">
        <v>39.6</v>
      </c>
      <c r="M28" s="16">
        <v>39.4</v>
      </c>
      <c r="N28" s="16">
        <v>40.200000000000003</v>
      </c>
      <c r="O28" s="16">
        <v>38.9</v>
      </c>
      <c r="P28" s="16">
        <v>3.7</v>
      </c>
      <c r="Q28" s="16">
        <v>3</v>
      </c>
      <c r="R28" s="16">
        <v>6.1</v>
      </c>
      <c r="S28" s="16">
        <v>7</v>
      </c>
      <c r="T28" s="16">
        <v>6.3</v>
      </c>
      <c r="U28" s="16">
        <v>4.5999999999999996</v>
      </c>
      <c r="V28" s="16">
        <v>3.9</v>
      </c>
      <c r="W28" s="16">
        <v>3.6</v>
      </c>
      <c r="X28" s="16">
        <v>1.9</v>
      </c>
      <c r="Y28" s="16">
        <v>2.5</v>
      </c>
      <c r="Z28" s="16">
        <v>3</v>
      </c>
      <c r="AA28" s="59">
        <v>9.7269144144144146</v>
      </c>
      <c r="AB28" s="59">
        <v>10.260588973452192</v>
      </c>
      <c r="AC28" s="59">
        <v>10.922048943460183</v>
      </c>
    </row>
    <row r="29" spans="1:29">
      <c r="A29" s="3" t="s">
        <v>80</v>
      </c>
      <c r="B29" s="3" t="s">
        <v>747</v>
      </c>
      <c r="C29" s="3">
        <v>21</v>
      </c>
      <c r="D29" s="3" t="s">
        <v>759</v>
      </c>
      <c r="E29" s="16">
        <v>40.9</v>
      </c>
      <c r="F29" s="16">
        <v>39.5</v>
      </c>
      <c r="G29" s="16">
        <v>38.799999999999997</v>
      </c>
      <c r="H29" s="16">
        <v>39.4</v>
      </c>
      <c r="I29" s="16">
        <v>37.5</v>
      </c>
      <c r="J29" s="16">
        <v>38.9</v>
      </c>
      <c r="K29" s="16">
        <v>37.9</v>
      </c>
      <c r="L29" s="16">
        <v>38.700000000000003</v>
      </c>
      <c r="M29" s="16">
        <v>41.1</v>
      </c>
      <c r="N29" s="16">
        <v>42.6</v>
      </c>
      <c r="O29" s="16">
        <v>42.1</v>
      </c>
      <c r="P29" s="16">
        <v>9.5</v>
      </c>
      <c r="Q29" s="16">
        <v>12.6</v>
      </c>
      <c r="R29" s="16">
        <v>13.1</v>
      </c>
      <c r="S29" s="16">
        <v>18.7</v>
      </c>
      <c r="T29" s="16">
        <v>17.8</v>
      </c>
      <c r="U29" s="16">
        <v>13.9</v>
      </c>
      <c r="V29" s="16">
        <v>13.5</v>
      </c>
      <c r="W29" s="16">
        <v>16</v>
      </c>
      <c r="X29" s="16">
        <v>17.3</v>
      </c>
      <c r="Y29" s="16">
        <v>22.2</v>
      </c>
      <c r="Z29" s="16">
        <v>19.3</v>
      </c>
      <c r="AA29" s="59">
        <v>4.8185018386587349E-2</v>
      </c>
      <c r="AB29" s="59">
        <v>2.8102549043289765E-2</v>
      </c>
      <c r="AC29" s="59">
        <v>2.2523623243529245E-2</v>
      </c>
    </row>
    <row r="30" spans="1:29">
      <c r="A30" s="3" t="s">
        <v>721</v>
      </c>
      <c r="B30" s="3" t="s">
        <v>722</v>
      </c>
      <c r="C30" s="3">
        <v>22</v>
      </c>
      <c r="D30" s="3" t="s">
        <v>664</v>
      </c>
      <c r="E30" s="16">
        <v>35.1</v>
      </c>
      <c r="F30" s="16">
        <v>33.6</v>
      </c>
      <c r="G30" s="16">
        <v>34.200000000000003</v>
      </c>
      <c r="H30" s="16">
        <v>33</v>
      </c>
      <c r="I30" s="16">
        <v>32.299999999999997</v>
      </c>
      <c r="J30" s="16">
        <v>32.5</v>
      </c>
      <c r="K30" s="16">
        <v>31</v>
      </c>
      <c r="L30" s="16">
        <v>32.200000000000003</v>
      </c>
      <c r="M30" s="16">
        <v>34.5</v>
      </c>
      <c r="N30" s="16">
        <v>35</v>
      </c>
      <c r="O30" s="16">
        <v>34.5</v>
      </c>
      <c r="P30" s="16">
        <v>2.2999999999999998</v>
      </c>
      <c r="Q30" s="16">
        <v>3.9</v>
      </c>
      <c r="R30" s="16">
        <v>4.5999999999999996</v>
      </c>
      <c r="S30" s="16">
        <v>8.6</v>
      </c>
      <c r="T30" s="16">
        <v>12.4</v>
      </c>
      <c r="U30" s="16">
        <v>9.4</v>
      </c>
      <c r="V30" s="16">
        <v>4.8</v>
      </c>
      <c r="W30" s="16">
        <v>8.6999999999999993</v>
      </c>
      <c r="X30" s="16">
        <v>10.5</v>
      </c>
      <c r="Y30" s="16">
        <v>12.3</v>
      </c>
      <c r="Z30" s="16">
        <v>10.1</v>
      </c>
      <c r="AA30" s="59">
        <v>8.077152965122854E-4</v>
      </c>
      <c r="AB30" s="59">
        <v>0</v>
      </c>
      <c r="AC30" s="59">
        <v>0</v>
      </c>
    </row>
    <row r="31" spans="1:29">
      <c r="A31" s="3" t="s">
        <v>723</v>
      </c>
      <c r="B31" s="3" t="s">
        <v>724</v>
      </c>
      <c r="C31" s="3">
        <v>23</v>
      </c>
      <c r="D31" s="3" t="s">
        <v>541</v>
      </c>
      <c r="E31" s="16">
        <v>42.6</v>
      </c>
      <c r="F31" s="16">
        <v>41.5</v>
      </c>
      <c r="G31" s="16">
        <v>41.4</v>
      </c>
      <c r="H31" s="16">
        <v>40.9</v>
      </c>
      <c r="I31" s="16">
        <v>40.5</v>
      </c>
      <c r="J31" s="16">
        <v>41.3</v>
      </c>
      <c r="K31" s="16">
        <v>41.6</v>
      </c>
      <c r="L31" s="16">
        <v>38.799999999999997</v>
      </c>
      <c r="M31" s="16">
        <v>39.9</v>
      </c>
      <c r="N31" s="16">
        <v>42.6</v>
      </c>
      <c r="O31" s="16">
        <v>40</v>
      </c>
      <c r="P31" s="16">
        <v>9.1</v>
      </c>
      <c r="Q31" s="16">
        <v>5.3</v>
      </c>
      <c r="R31" s="16">
        <v>6.7</v>
      </c>
      <c r="S31" s="16">
        <v>10.3</v>
      </c>
      <c r="T31" s="16">
        <v>10.1</v>
      </c>
      <c r="U31" s="16">
        <v>10.3</v>
      </c>
      <c r="V31" s="16">
        <v>8.6999999999999993</v>
      </c>
      <c r="W31" s="16">
        <v>9.1999999999999993</v>
      </c>
      <c r="X31" s="16">
        <v>12.8</v>
      </c>
      <c r="Y31" s="16">
        <v>12.1</v>
      </c>
      <c r="Z31" s="16">
        <v>15.6</v>
      </c>
      <c r="AA31" s="59">
        <v>3.4877026897367833</v>
      </c>
      <c r="AB31" s="59">
        <v>3.5164935579178214</v>
      </c>
      <c r="AC31" s="59">
        <v>3.0532456249224271</v>
      </c>
    </row>
    <row r="32" spans="1:29">
      <c r="A32" s="3" t="s">
        <v>725</v>
      </c>
      <c r="B32" s="3" t="s">
        <v>726</v>
      </c>
      <c r="C32" s="3">
        <v>24</v>
      </c>
      <c r="D32" s="3" t="s">
        <v>664</v>
      </c>
      <c r="E32" s="16">
        <v>37.4</v>
      </c>
      <c r="F32" s="16">
        <v>37.200000000000003</v>
      </c>
      <c r="G32" s="16">
        <v>35.799999999999997</v>
      </c>
      <c r="H32" s="16">
        <v>36.200000000000003</v>
      </c>
      <c r="I32" s="16">
        <v>37.5</v>
      </c>
      <c r="J32" s="16">
        <v>37.700000000000003</v>
      </c>
      <c r="K32" s="16">
        <v>38</v>
      </c>
      <c r="L32" s="16">
        <v>38.9</v>
      </c>
      <c r="M32" s="16">
        <v>40</v>
      </c>
      <c r="N32" s="16">
        <v>38.200000000000003</v>
      </c>
      <c r="O32" s="16">
        <v>36.299999999999997</v>
      </c>
      <c r="P32" s="16">
        <v>12.5</v>
      </c>
      <c r="Q32" s="16">
        <v>11.8</v>
      </c>
      <c r="R32" s="16">
        <v>14.2</v>
      </c>
      <c r="S32" s="16">
        <v>19.100000000000001</v>
      </c>
      <c r="T32" s="16">
        <v>21.8</v>
      </c>
      <c r="U32" s="16">
        <v>15.5</v>
      </c>
      <c r="V32" s="16">
        <v>14.9</v>
      </c>
      <c r="W32" s="16">
        <v>15.9</v>
      </c>
      <c r="X32" s="16">
        <v>18.399999999999999</v>
      </c>
      <c r="Y32" s="16">
        <v>17.899999999999999</v>
      </c>
      <c r="Z32" s="16">
        <v>17.8</v>
      </c>
      <c r="AA32" s="59">
        <v>3.0599244476836374E-3</v>
      </c>
      <c r="AB32" s="59">
        <v>2.2084984096118161E-2</v>
      </c>
      <c r="AC32" s="59">
        <v>4.2392730494574785E-4</v>
      </c>
    </row>
    <row r="33" spans="1:29">
      <c r="E33" s="11"/>
      <c r="F33" s="11"/>
      <c r="G33" s="11"/>
      <c r="H33" s="11"/>
      <c r="I33" s="11"/>
      <c r="J33" s="11"/>
      <c r="K33" s="11"/>
      <c r="L33" s="11"/>
      <c r="M33" s="11"/>
      <c r="N33" s="11"/>
      <c r="O33" s="11"/>
      <c r="P33" s="11"/>
      <c r="Q33" s="11"/>
      <c r="R33" s="11"/>
      <c r="S33" s="11"/>
      <c r="T33" s="11"/>
      <c r="U33" s="11"/>
      <c r="V33" s="11"/>
      <c r="W33" s="11"/>
      <c r="X33" s="11"/>
      <c r="Y33" s="11"/>
      <c r="Z33" s="11"/>
      <c r="AA33" s="59"/>
      <c r="AB33" s="59"/>
      <c r="AC33" s="59"/>
    </row>
    <row r="34" spans="1:29">
      <c r="A34" s="3" t="s">
        <v>727</v>
      </c>
      <c r="E34" s="11"/>
      <c r="F34" s="11"/>
      <c r="G34" s="11"/>
      <c r="H34" s="11"/>
      <c r="I34" s="11"/>
      <c r="J34" s="11"/>
      <c r="K34" s="11"/>
      <c r="L34" s="11"/>
      <c r="M34" s="11"/>
      <c r="N34" s="11"/>
      <c r="O34" s="11"/>
      <c r="P34" s="11"/>
      <c r="Q34" s="11"/>
      <c r="R34" s="11"/>
      <c r="S34" s="11"/>
      <c r="T34" s="11"/>
      <c r="U34" s="11"/>
      <c r="V34" s="11"/>
      <c r="W34" s="11"/>
      <c r="X34" s="11"/>
      <c r="Y34" s="11"/>
      <c r="Z34" s="11"/>
      <c r="AA34" s="59">
        <v>0.51512532682626688</v>
      </c>
      <c r="AB34" s="59">
        <v>0.63212841822594734</v>
      </c>
      <c r="AC34" s="59">
        <v>0.67149013488455622</v>
      </c>
    </row>
    <row r="35" spans="1:29" ht="341">
      <c r="A35" s="7" t="s">
        <v>728</v>
      </c>
      <c r="B35" s="7"/>
      <c r="C35" s="7"/>
      <c r="D35" s="7"/>
      <c r="E35" s="7" t="s">
        <v>823</v>
      </c>
      <c r="F35" s="7" t="s">
        <v>823</v>
      </c>
      <c r="G35" s="7" t="s">
        <v>823</v>
      </c>
      <c r="H35" s="7" t="s">
        <v>823</v>
      </c>
      <c r="I35" s="7" t="s">
        <v>823</v>
      </c>
      <c r="J35" s="7" t="s">
        <v>823</v>
      </c>
      <c r="K35" s="7" t="s">
        <v>823</v>
      </c>
      <c r="L35" s="7" t="s">
        <v>823</v>
      </c>
      <c r="M35" s="7" t="s">
        <v>823</v>
      </c>
      <c r="N35" s="7" t="s">
        <v>823</v>
      </c>
      <c r="O35" s="7" t="s">
        <v>823</v>
      </c>
      <c r="P35" s="7" t="s">
        <v>930</v>
      </c>
      <c r="Q35" s="7" t="s">
        <v>930</v>
      </c>
      <c r="R35" s="7" t="s">
        <v>930</v>
      </c>
      <c r="S35" s="7" t="s">
        <v>930</v>
      </c>
      <c r="T35" s="7" t="s">
        <v>930</v>
      </c>
      <c r="U35" s="7" t="s">
        <v>930</v>
      </c>
      <c r="V35" s="7" t="s">
        <v>930</v>
      </c>
      <c r="W35" s="7" t="s">
        <v>930</v>
      </c>
      <c r="X35" s="7" t="s">
        <v>930</v>
      </c>
      <c r="Y35" s="7" t="s">
        <v>930</v>
      </c>
      <c r="Z35" s="7" t="s">
        <v>930</v>
      </c>
      <c r="AA35" s="1" t="s">
        <v>244</v>
      </c>
      <c r="AB35" s="1" t="s">
        <v>244</v>
      </c>
      <c r="AC35" s="1" t="s">
        <v>226</v>
      </c>
    </row>
    <row r="36" spans="1:29">
      <c r="A36" s="7"/>
      <c r="B36" s="7"/>
      <c r="C36" s="7"/>
      <c r="D36" s="7"/>
      <c r="E36" s="1"/>
      <c r="F36" s="1"/>
      <c r="G36" s="1"/>
      <c r="H36" s="1"/>
      <c r="I36" s="1"/>
      <c r="J36" s="1"/>
      <c r="K36" s="1"/>
      <c r="L36" s="1"/>
      <c r="M36" s="1"/>
      <c r="N36" s="1"/>
      <c r="O36" s="1"/>
      <c r="P36" s="1"/>
      <c r="Q36" s="1"/>
      <c r="R36" s="1"/>
      <c r="S36" s="1"/>
      <c r="T36" s="1"/>
      <c r="U36" s="1"/>
      <c r="V36" s="1"/>
      <c r="W36" s="1"/>
      <c r="X36" s="1"/>
      <c r="Y36" s="1"/>
      <c r="Z36" s="1"/>
      <c r="AA36" s="1"/>
      <c r="AB36" s="1"/>
      <c r="AC36" s="1"/>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6"/>
  <sheetViews>
    <sheetView workbookViewId="0"/>
  </sheetViews>
  <sheetFormatPr baseColWidth="10" defaultRowHeight="14" customHeight="1" x14ac:dyDescent="0"/>
  <cols>
    <col min="1" max="1" width="15" style="200" customWidth="1"/>
    <col min="2" max="16384" width="10.7109375" style="6"/>
  </cols>
  <sheetData>
    <row r="1" spans="1:64" ht="14" customHeight="1">
      <c r="A1" s="137" t="s">
        <v>2404</v>
      </c>
      <c r="B1" s="3"/>
      <c r="C1" s="3"/>
      <c r="D1" s="3"/>
    </row>
    <row r="2" spans="1:64" ht="14" customHeight="1">
      <c r="A2" s="1" t="s">
        <v>614</v>
      </c>
      <c r="B2" s="1"/>
      <c r="C2" s="1"/>
      <c r="D2" s="1"/>
      <c r="E2" s="199" t="s">
        <v>2392</v>
      </c>
      <c r="F2" s="199" t="s">
        <v>2392</v>
      </c>
      <c r="G2" s="199" t="s">
        <v>2392</v>
      </c>
      <c r="H2" s="199" t="s">
        <v>2392</v>
      </c>
      <c r="I2" s="199" t="s">
        <v>2392</v>
      </c>
      <c r="J2" s="199" t="s">
        <v>2392</v>
      </c>
      <c r="K2" s="199" t="s">
        <v>2392</v>
      </c>
      <c r="L2" s="199" t="s">
        <v>2392</v>
      </c>
      <c r="M2" s="199" t="s">
        <v>2392</v>
      </c>
      <c r="N2" s="199" t="s">
        <v>2392</v>
      </c>
      <c r="O2" s="199" t="s">
        <v>2392</v>
      </c>
      <c r="P2" s="199" t="s">
        <v>2392</v>
      </c>
      <c r="Q2" s="199" t="s">
        <v>2392</v>
      </c>
      <c r="R2" s="199" t="s">
        <v>2392</v>
      </c>
      <c r="S2" s="199" t="s">
        <v>2392</v>
      </c>
      <c r="T2" s="199" t="s">
        <v>2392</v>
      </c>
      <c r="U2" s="199" t="s">
        <v>2392</v>
      </c>
      <c r="V2" s="199" t="s">
        <v>2392</v>
      </c>
      <c r="W2" s="199" t="s">
        <v>2392</v>
      </c>
      <c r="X2" s="199" t="s">
        <v>2392</v>
      </c>
      <c r="Y2" s="199" t="s">
        <v>2392</v>
      </c>
      <c r="Z2" s="199" t="s">
        <v>2392</v>
      </c>
      <c r="AA2" s="199" t="s">
        <v>2392</v>
      </c>
      <c r="AB2" s="199" t="s">
        <v>2392</v>
      </c>
      <c r="AC2" s="199" t="s">
        <v>2392</v>
      </c>
      <c r="AD2" s="199" t="s">
        <v>2392</v>
      </c>
      <c r="AE2" s="199" t="s">
        <v>2392</v>
      </c>
      <c r="AF2" s="199" t="s">
        <v>2392</v>
      </c>
      <c r="AG2" s="199" t="s">
        <v>2392</v>
      </c>
      <c r="AH2" s="199" t="s">
        <v>2392</v>
      </c>
      <c r="AI2" s="199" t="s">
        <v>2392</v>
      </c>
      <c r="AJ2" s="199" t="s">
        <v>2392</v>
      </c>
      <c r="AK2" s="199" t="s">
        <v>2392</v>
      </c>
      <c r="AL2" s="199" t="s">
        <v>2392</v>
      </c>
      <c r="AM2" s="199" t="s">
        <v>2392</v>
      </c>
      <c r="AN2" s="199" t="s">
        <v>2392</v>
      </c>
      <c r="AO2" s="199" t="s">
        <v>2392</v>
      </c>
      <c r="AP2" s="199" t="s">
        <v>2392</v>
      </c>
      <c r="AQ2" s="199" t="s">
        <v>2392</v>
      </c>
      <c r="AR2" s="199" t="s">
        <v>2392</v>
      </c>
      <c r="AS2" s="199" t="s">
        <v>2392</v>
      </c>
      <c r="AT2" s="199" t="s">
        <v>2392</v>
      </c>
      <c r="AU2" s="199" t="s">
        <v>2392</v>
      </c>
      <c r="AV2" s="199" t="s">
        <v>2392</v>
      </c>
      <c r="AW2" s="199" t="s">
        <v>2392</v>
      </c>
      <c r="AX2" s="199" t="s">
        <v>2392</v>
      </c>
      <c r="AY2" s="199" t="s">
        <v>2392</v>
      </c>
      <c r="AZ2" s="199" t="s">
        <v>2392</v>
      </c>
      <c r="BA2" s="199" t="s">
        <v>2392</v>
      </c>
      <c r="BB2" s="199" t="s">
        <v>2392</v>
      </c>
      <c r="BC2" s="199" t="s">
        <v>2392</v>
      </c>
      <c r="BD2" s="199" t="s">
        <v>2392</v>
      </c>
      <c r="BE2" s="199" t="s">
        <v>2392</v>
      </c>
      <c r="BF2" s="199" t="s">
        <v>2392</v>
      </c>
      <c r="BG2" s="199" t="s">
        <v>2392</v>
      </c>
      <c r="BH2" s="199" t="s">
        <v>2392</v>
      </c>
      <c r="BI2" s="199" t="s">
        <v>2392</v>
      </c>
      <c r="BJ2" s="199" t="s">
        <v>2392</v>
      </c>
      <c r="BK2" s="199" t="s">
        <v>2392</v>
      </c>
      <c r="BL2" s="199" t="s">
        <v>2392</v>
      </c>
    </row>
    <row r="3" spans="1:64" ht="14" customHeight="1">
      <c r="A3" s="1" t="s">
        <v>518</v>
      </c>
      <c r="B3" s="1"/>
      <c r="C3" s="1"/>
      <c r="D3" s="1"/>
      <c r="E3" s="199" t="s">
        <v>2962</v>
      </c>
      <c r="F3" s="199" t="s">
        <v>2962</v>
      </c>
      <c r="G3" s="199" t="s">
        <v>2962</v>
      </c>
      <c r="H3" s="199" t="s">
        <v>2962</v>
      </c>
      <c r="I3" s="199" t="s">
        <v>2962</v>
      </c>
      <c r="J3" s="199" t="s">
        <v>2962</v>
      </c>
      <c r="K3" s="199" t="s">
        <v>2962</v>
      </c>
      <c r="L3" s="199" t="s">
        <v>2962</v>
      </c>
      <c r="M3" s="199" t="s">
        <v>2962</v>
      </c>
      <c r="N3" s="199" t="s">
        <v>2962</v>
      </c>
      <c r="O3" s="199" t="s">
        <v>2962</v>
      </c>
      <c r="P3" s="199" t="s">
        <v>2962</v>
      </c>
      <c r="Q3" s="199" t="s">
        <v>2962</v>
      </c>
      <c r="R3" s="199" t="s">
        <v>2962</v>
      </c>
      <c r="S3" s="199" t="s">
        <v>2962</v>
      </c>
      <c r="T3" s="199" t="s">
        <v>2962</v>
      </c>
      <c r="U3" s="199" t="s">
        <v>2962</v>
      </c>
      <c r="V3" s="199" t="s">
        <v>2962</v>
      </c>
      <c r="W3" s="199" t="s">
        <v>2962</v>
      </c>
      <c r="X3" s="199" t="s">
        <v>2962</v>
      </c>
      <c r="Y3" s="199" t="s">
        <v>2962</v>
      </c>
      <c r="Z3" s="199" t="s">
        <v>2962</v>
      </c>
      <c r="AA3" s="199" t="s">
        <v>2962</v>
      </c>
      <c r="AB3" s="199" t="s">
        <v>2962</v>
      </c>
      <c r="AC3" s="199" t="s">
        <v>2962</v>
      </c>
      <c r="AD3" s="199" t="s">
        <v>2962</v>
      </c>
      <c r="AE3" s="199" t="s">
        <v>2962</v>
      </c>
      <c r="AF3" s="199" t="s">
        <v>2962</v>
      </c>
      <c r="AG3" s="199" t="s">
        <v>2962</v>
      </c>
      <c r="AH3" s="199" t="s">
        <v>2962</v>
      </c>
      <c r="AI3" s="199" t="s">
        <v>2962</v>
      </c>
      <c r="AJ3" s="199" t="s">
        <v>2962</v>
      </c>
      <c r="AK3" s="199" t="s">
        <v>2962</v>
      </c>
      <c r="AL3" s="199" t="s">
        <v>2962</v>
      </c>
      <c r="AM3" s="199" t="s">
        <v>2962</v>
      </c>
      <c r="AN3" s="199" t="s">
        <v>2962</v>
      </c>
      <c r="AO3" s="199" t="s">
        <v>2962</v>
      </c>
      <c r="AP3" s="199" t="s">
        <v>2962</v>
      </c>
      <c r="AQ3" s="199" t="s">
        <v>2962</v>
      </c>
      <c r="AR3" s="199" t="s">
        <v>2962</v>
      </c>
      <c r="AS3" s="199" t="s">
        <v>2962</v>
      </c>
      <c r="AT3" s="199" t="s">
        <v>2962</v>
      </c>
      <c r="AU3" s="199" t="s">
        <v>2962</v>
      </c>
      <c r="AV3" s="199" t="s">
        <v>2962</v>
      </c>
      <c r="AW3" s="199" t="s">
        <v>2962</v>
      </c>
      <c r="AX3" s="199" t="s">
        <v>2962</v>
      </c>
      <c r="AY3" s="199" t="s">
        <v>2962</v>
      </c>
      <c r="AZ3" s="199" t="s">
        <v>2962</v>
      </c>
      <c r="BA3" s="199" t="s">
        <v>2962</v>
      </c>
      <c r="BB3" s="199" t="s">
        <v>2962</v>
      </c>
      <c r="BC3" s="199" t="s">
        <v>2962</v>
      </c>
      <c r="BD3" s="199" t="s">
        <v>2962</v>
      </c>
      <c r="BE3" s="199" t="s">
        <v>2962</v>
      </c>
      <c r="BF3" s="199" t="s">
        <v>2962</v>
      </c>
      <c r="BG3" s="199" t="s">
        <v>2962</v>
      </c>
      <c r="BH3" s="199" t="s">
        <v>2962</v>
      </c>
      <c r="BI3" s="199" t="s">
        <v>2962</v>
      </c>
      <c r="BJ3" s="199" t="s">
        <v>2962</v>
      </c>
      <c r="BK3" s="199" t="s">
        <v>2962</v>
      </c>
      <c r="BL3" s="199" t="s">
        <v>2962</v>
      </c>
    </row>
    <row r="4" spans="1:64" ht="14" customHeight="1">
      <c r="A4" s="1" t="s">
        <v>736</v>
      </c>
      <c r="B4" s="1"/>
      <c r="C4" s="1"/>
      <c r="D4" s="1"/>
      <c r="E4" s="199" t="s">
        <v>2489</v>
      </c>
      <c r="F4" s="199" t="s">
        <v>2489</v>
      </c>
      <c r="G4" s="199" t="s">
        <v>2489</v>
      </c>
      <c r="H4" s="199" t="s">
        <v>2489</v>
      </c>
      <c r="I4" s="199" t="s">
        <v>2489</v>
      </c>
      <c r="J4" s="199" t="s">
        <v>2489</v>
      </c>
      <c r="K4" s="199" t="s">
        <v>2489</v>
      </c>
      <c r="L4" s="199" t="s">
        <v>2489</v>
      </c>
      <c r="M4" s="199" t="s">
        <v>2489</v>
      </c>
      <c r="N4" s="199" t="s">
        <v>2489</v>
      </c>
      <c r="O4" s="199" t="s">
        <v>2489</v>
      </c>
      <c r="P4" s="199" t="s">
        <v>2489</v>
      </c>
      <c r="Q4" s="199" t="s">
        <v>2489</v>
      </c>
      <c r="R4" s="199" t="s">
        <v>2489</v>
      </c>
      <c r="S4" s="199" t="s">
        <v>2489</v>
      </c>
      <c r="T4" s="199" t="s">
        <v>2489</v>
      </c>
      <c r="U4" s="199" t="s">
        <v>2489</v>
      </c>
      <c r="V4" s="199" t="s">
        <v>2489</v>
      </c>
      <c r="W4" s="199" t="s">
        <v>2489</v>
      </c>
      <c r="X4" s="199" t="s">
        <v>2489</v>
      </c>
      <c r="Y4" s="199" t="s">
        <v>2489</v>
      </c>
      <c r="Z4" s="199" t="s">
        <v>2489</v>
      </c>
      <c r="AA4" s="199" t="s">
        <v>2489</v>
      </c>
      <c r="AB4" s="199" t="s">
        <v>2489</v>
      </c>
      <c r="AC4" s="199" t="s">
        <v>2489</v>
      </c>
      <c r="AD4" s="199" t="s">
        <v>2489</v>
      </c>
      <c r="AE4" s="199" t="s">
        <v>2489</v>
      </c>
      <c r="AF4" s="199" t="s">
        <v>2489</v>
      </c>
      <c r="AG4" s="199" t="s">
        <v>2489</v>
      </c>
      <c r="AH4" s="199" t="s">
        <v>2489</v>
      </c>
      <c r="AI4" s="199" t="s">
        <v>2965</v>
      </c>
      <c r="AJ4" s="199" t="s">
        <v>2965</v>
      </c>
      <c r="AK4" s="199" t="s">
        <v>2965</v>
      </c>
      <c r="AL4" s="199" t="s">
        <v>2965</v>
      </c>
      <c r="AM4" s="199" t="s">
        <v>2965</v>
      </c>
      <c r="AN4" s="199" t="s">
        <v>2965</v>
      </c>
      <c r="AO4" s="199" t="s">
        <v>2965</v>
      </c>
      <c r="AP4" s="199" t="s">
        <v>2965</v>
      </c>
      <c r="AQ4" s="199" t="s">
        <v>2965</v>
      </c>
      <c r="AR4" s="199" t="s">
        <v>2965</v>
      </c>
      <c r="AS4" s="199" t="s">
        <v>2965</v>
      </c>
      <c r="AT4" s="199" t="s">
        <v>2965</v>
      </c>
      <c r="AU4" s="199" t="s">
        <v>2965</v>
      </c>
      <c r="AV4" s="199" t="s">
        <v>2965</v>
      </c>
      <c r="AW4" s="199" t="s">
        <v>2965</v>
      </c>
      <c r="AX4" s="199" t="s">
        <v>2965</v>
      </c>
      <c r="AY4" s="199" t="s">
        <v>2965</v>
      </c>
      <c r="AZ4" s="199" t="s">
        <v>2965</v>
      </c>
      <c r="BA4" s="199" t="s">
        <v>2965</v>
      </c>
      <c r="BB4" s="199" t="s">
        <v>2965</v>
      </c>
      <c r="BC4" s="199" t="s">
        <v>2965</v>
      </c>
      <c r="BD4" s="199" t="s">
        <v>2965</v>
      </c>
      <c r="BE4" s="199" t="s">
        <v>2965</v>
      </c>
      <c r="BF4" s="199" t="s">
        <v>2965</v>
      </c>
      <c r="BG4" s="199" t="s">
        <v>2965</v>
      </c>
      <c r="BH4" s="199" t="s">
        <v>2965</v>
      </c>
      <c r="BI4" s="199" t="s">
        <v>2965</v>
      </c>
      <c r="BJ4" s="199" t="s">
        <v>2965</v>
      </c>
      <c r="BK4" s="199" t="s">
        <v>2965</v>
      </c>
      <c r="BL4" s="199" t="s">
        <v>2965</v>
      </c>
    </row>
    <row r="5" spans="1:64" ht="14" customHeight="1">
      <c r="A5" s="1" t="s">
        <v>737</v>
      </c>
      <c r="B5" s="1"/>
      <c r="C5" s="1"/>
      <c r="D5" s="1"/>
      <c r="E5" s="199" t="s">
        <v>2931</v>
      </c>
      <c r="F5" s="199" t="s">
        <v>2931</v>
      </c>
      <c r="G5" s="199" t="s">
        <v>2931</v>
      </c>
      <c r="H5" s="199" t="s">
        <v>2931</v>
      </c>
      <c r="I5" s="199" t="s">
        <v>2931</v>
      </c>
      <c r="J5" s="199" t="s">
        <v>2931</v>
      </c>
      <c r="K5" s="199" t="s">
        <v>2931</v>
      </c>
      <c r="L5" s="199" t="s">
        <v>2931</v>
      </c>
      <c r="M5" s="199" t="s">
        <v>2931</v>
      </c>
      <c r="N5" s="199" t="s">
        <v>2931</v>
      </c>
      <c r="O5" s="199" t="s">
        <v>2931</v>
      </c>
      <c r="P5" s="199" t="s">
        <v>2931</v>
      </c>
      <c r="Q5" s="199" t="s">
        <v>2931</v>
      </c>
      <c r="R5" s="199" t="s">
        <v>2931</v>
      </c>
      <c r="S5" s="199" t="s">
        <v>2931</v>
      </c>
      <c r="T5" s="199" t="s">
        <v>2931</v>
      </c>
      <c r="U5" s="199" t="s">
        <v>2931</v>
      </c>
      <c r="V5" s="199" t="s">
        <v>2931</v>
      </c>
      <c r="W5" s="199" t="s">
        <v>2931</v>
      </c>
      <c r="X5" s="199" t="s">
        <v>2931</v>
      </c>
      <c r="Y5" s="199" t="s">
        <v>2931</v>
      </c>
      <c r="Z5" s="199" t="s">
        <v>2931</v>
      </c>
      <c r="AA5" s="199" t="s">
        <v>2931</v>
      </c>
      <c r="AB5" s="199" t="s">
        <v>2931</v>
      </c>
      <c r="AC5" s="199" t="s">
        <v>2931</v>
      </c>
      <c r="AD5" s="199" t="s">
        <v>2931</v>
      </c>
      <c r="AE5" s="199" t="s">
        <v>2931</v>
      </c>
      <c r="AF5" s="199" t="s">
        <v>2931</v>
      </c>
      <c r="AG5" s="199" t="s">
        <v>2931</v>
      </c>
      <c r="AH5" s="199" t="s">
        <v>1950</v>
      </c>
      <c r="AI5" s="199" t="s">
        <v>2931</v>
      </c>
      <c r="AJ5" s="199" t="s">
        <v>2931</v>
      </c>
      <c r="AK5" s="199" t="s">
        <v>2931</v>
      </c>
      <c r="AL5" s="199" t="s">
        <v>2931</v>
      </c>
      <c r="AM5" s="199" t="s">
        <v>2931</v>
      </c>
      <c r="AN5" s="199" t="s">
        <v>2931</v>
      </c>
      <c r="AO5" s="199" t="s">
        <v>2931</v>
      </c>
      <c r="AP5" s="199" t="s">
        <v>2931</v>
      </c>
      <c r="AQ5" s="199" t="s">
        <v>2931</v>
      </c>
      <c r="AR5" s="199" t="s">
        <v>2931</v>
      </c>
      <c r="AS5" s="199" t="s">
        <v>2931</v>
      </c>
      <c r="AT5" s="199" t="s">
        <v>2931</v>
      </c>
      <c r="AU5" s="199" t="s">
        <v>2931</v>
      </c>
      <c r="AV5" s="199" t="s">
        <v>2931</v>
      </c>
      <c r="AW5" s="199" t="s">
        <v>2931</v>
      </c>
      <c r="AX5" s="199" t="s">
        <v>2931</v>
      </c>
      <c r="AY5" s="199" t="s">
        <v>2931</v>
      </c>
      <c r="AZ5" s="199" t="s">
        <v>2931</v>
      </c>
      <c r="BA5" s="199" t="s">
        <v>2931</v>
      </c>
      <c r="BB5" s="199" t="s">
        <v>2931</v>
      </c>
      <c r="BC5" s="199" t="s">
        <v>2931</v>
      </c>
      <c r="BD5" s="199" t="s">
        <v>2931</v>
      </c>
      <c r="BE5" s="199" t="s">
        <v>2931</v>
      </c>
      <c r="BF5" s="199" t="s">
        <v>2931</v>
      </c>
      <c r="BG5" s="199" t="s">
        <v>2931</v>
      </c>
      <c r="BH5" s="199" t="s">
        <v>2931</v>
      </c>
      <c r="BI5" s="199" t="s">
        <v>2931</v>
      </c>
      <c r="BJ5" s="199" t="s">
        <v>2931</v>
      </c>
      <c r="BK5" s="199" t="s">
        <v>2931</v>
      </c>
      <c r="BL5" s="199" t="s">
        <v>1950</v>
      </c>
    </row>
    <row r="6" spans="1:64" ht="14" customHeight="1">
      <c r="A6" s="42" t="s">
        <v>560</v>
      </c>
      <c r="B6" s="42"/>
      <c r="C6" s="42"/>
      <c r="D6" s="42"/>
      <c r="E6" s="193">
        <v>1983</v>
      </c>
      <c r="F6" s="193">
        <v>1984</v>
      </c>
      <c r="G6" s="193">
        <v>1985</v>
      </c>
      <c r="H6" s="193">
        <v>1986</v>
      </c>
      <c r="I6" s="193">
        <v>1987</v>
      </c>
      <c r="J6" s="193">
        <v>1988</v>
      </c>
      <c r="K6" s="193">
        <v>1989</v>
      </c>
      <c r="L6" s="193">
        <v>1990</v>
      </c>
      <c r="M6" s="193">
        <v>1991</v>
      </c>
      <c r="N6" s="193">
        <v>1992</v>
      </c>
      <c r="O6" s="193">
        <v>1993</v>
      </c>
      <c r="P6" s="193">
        <v>1994</v>
      </c>
      <c r="Q6" s="193">
        <v>1995</v>
      </c>
      <c r="R6" s="193">
        <v>1996</v>
      </c>
      <c r="S6" s="193">
        <v>1997</v>
      </c>
      <c r="T6" s="193">
        <v>1998</v>
      </c>
      <c r="U6" s="193">
        <v>1999</v>
      </c>
      <c r="V6" s="193">
        <v>2000</v>
      </c>
      <c r="W6" s="193">
        <v>2001</v>
      </c>
      <c r="X6" s="193">
        <v>2002</v>
      </c>
      <c r="Y6" s="193">
        <v>2003</v>
      </c>
      <c r="Z6" s="193">
        <v>2004</v>
      </c>
      <c r="AA6" s="193">
        <v>2005</v>
      </c>
      <c r="AB6" s="193">
        <v>2006</v>
      </c>
      <c r="AC6" s="193">
        <v>2007</v>
      </c>
      <c r="AD6" s="193">
        <v>2008</v>
      </c>
      <c r="AE6" s="193">
        <v>2009</v>
      </c>
      <c r="AF6" s="193">
        <v>2010</v>
      </c>
      <c r="AG6" s="193">
        <v>2011</v>
      </c>
      <c r="AH6" s="193">
        <v>2012</v>
      </c>
      <c r="AI6" s="193">
        <v>1983</v>
      </c>
      <c r="AJ6" s="193">
        <v>1984</v>
      </c>
      <c r="AK6" s="193">
        <v>1985</v>
      </c>
      <c r="AL6" s="193">
        <v>1986</v>
      </c>
      <c r="AM6" s="193">
        <v>1987</v>
      </c>
      <c r="AN6" s="193">
        <v>1988</v>
      </c>
      <c r="AO6" s="193">
        <v>1989</v>
      </c>
      <c r="AP6" s="193">
        <v>1990</v>
      </c>
      <c r="AQ6" s="193">
        <v>1991</v>
      </c>
      <c r="AR6" s="193">
        <v>1992</v>
      </c>
      <c r="AS6" s="193">
        <v>1993</v>
      </c>
      <c r="AT6" s="193">
        <v>1994</v>
      </c>
      <c r="AU6" s="193">
        <v>1995</v>
      </c>
      <c r="AV6" s="193">
        <v>1996</v>
      </c>
      <c r="AW6" s="193">
        <v>1997</v>
      </c>
      <c r="AX6" s="193">
        <v>1998</v>
      </c>
      <c r="AY6" s="193">
        <v>1999</v>
      </c>
      <c r="AZ6" s="193">
        <v>2000</v>
      </c>
      <c r="BA6" s="193">
        <v>2001</v>
      </c>
      <c r="BB6" s="193">
        <v>2002</v>
      </c>
      <c r="BC6" s="193">
        <v>2003</v>
      </c>
      <c r="BD6" s="193">
        <v>2004</v>
      </c>
      <c r="BE6" s="193">
        <v>2005</v>
      </c>
      <c r="BF6" s="193">
        <v>2006</v>
      </c>
      <c r="BG6" s="193">
        <v>2007</v>
      </c>
      <c r="BH6" s="193">
        <v>2008</v>
      </c>
      <c r="BI6" s="193">
        <v>2009</v>
      </c>
      <c r="BJ6" s="193">
        <v>2010</v>
      </c>
      <c r="BK6" s="193">
        <v>2011</v>
      </c>
      <c r="BL6" s="193">
        <v>2012</v>
      </c>
    </row>
    <row r="7" spans="1:64" ht="110">
      <c r="A7" s="7" t="s">
        <v>3334</v>
      </c>
      <c r="B7" s="1"/>
      <c r="C7" s="1"/>
      <c r="D7" s="1"/>
      <c r="E7" s="198" t="s">
        <v>2928</v>
      </c>
      <c r="F7" s="198" t="s">
        <v>2928</v>
      </c>
      <c r="G7" s="198" t="s">
        <v>2928</v>
      </c>
      <c r="H7" s="198" t="s">
        <v>2928</v>
      </c>
      <c r="I7" s="198" t="s">
        <v>2928</v>
      </c>
      <c r="J7" s="198" t="s">
        <v>2928</v>
      </c>
      <c r="K7" s="198" t="s">
        <v>2928</v>
      </c>
      <c r="L7" s="198" t="s">
        <v>2928</v>
      </c>
      <c r="M7" s="198" t="s">
        <v>2928</v>
      </c>
      <c r="N7" s="198" t="s">
        <v>2928</v>
      </c>
      <c r="O7" s="198" t="s">
        <v>2928</v>
      </c>
      <c r="P7" s="198" t="s">
        <v>2928</v>
      </c>
      <c r="Q7" s="198" t="s">
        <v>2928</v>
      </c>
      <c r="R7" s="198" t="s">
        <v>2928</v>
      </c>
      <c r="S7" s="198" t="s">
        <v>2928</v>
      </c>
      <c r="T7" s="198" t="s">
        <v>2928</v>
      </c>
      <c r="U7" s="198" t="s">
        <v>2928</v>
      </c>
      <c r="V7" s="198" t="s">
        <v>2928</v>
      </c>
      <c r="W7" s="198" t="s">
        <v>2928</v>
      </c>
      <c r="X7" s="198" t="s">
        <v>2928</v>
      </c>
      <c r="Y7" s="198" t="s">
        <v>2928</v>
      </c>
      <c r="Z7" s="198" t="s">
        <v>2928</v>
      </c>
      <c r="AA7" s="198" t="s">
        <v>2928</v>
      </c>
      <c r="AB7" s="198" t="s">
        <v>2928</v>
      </c>
      <c r="AC7" s="198" t="s">
        <v>2928</v>
      </c>
      <c r="AD7" s="198" t="s">
        <v>2928</v>
      </c>
      <c r="AE7" s="198" t="s">
        <v>2928</v>
      </c>
      <c r="AF7" s="198" t="s">
        <v>2928</v>
      </c>
      <c r="AG7" s="198" t="s">
        <v>2928</v>
      </c>
      <c r="AH7" s="198" t="s">
        <v>2928</v>
      </c>
      <c r="AI7" s="198" t="s">
        <v>2964</v>
      </c>
      <c r="AJ7" s="198" t="s">
        <v>2964</v>
      </c>
      <c r="AK7" s="198" t="s">
        <v>2964</v>
      </c>
      <c r="AL7" s="198" t="s">
        <v>2964</v>
      </c>
      <c r="AM7" s="198" t="s">
        <v>2964</v>
      </c>
      <c r="AN7" s="198" t="s">
        <v>2964</v>
      </c>
      <c r="AO7" s="198" t="s">
        <v>2964</v>
      </c>
      <c r="AP7" s="198" t="s">
        <v>2964</v>
      </c>
      <c r="AQ7" s="198" t="s">
        <v>2964</v>
      </c>
      <c r="AR7" s="198" t="s">
        <v>2964</v>
      </c>
      <c r="AS7" s="198" t="s">
        <v>2964</v>
      </c>
      <c r="AT7" s="198" t="s">
        <v>2964</v>
      </c>
      <c r="AU7" s="198" t="s">
        <v>2964</v>
      </c>
      <c r="AV7" s="198" t="s">
        <v>2964</v>
      </c>
      <c r="AW7" s="198" t="s">
        <v>2964</v>
      </c>
      <c r="AX7" s="198" t="s">
        <v>2964</v>
      </c>
      <c r="AY7" s="198" t="s">
        <v>2964</v>
      </c>
      <c r="AZ7" s="198" t="s">
        <v>2964</v>
      </c>
      <c r="BA7" s="198" t="s">
        <v>2964</v>
      </c>
      <c r="BB7" s="198" t="s">
        <v>2964</v>
      </c>
      <c r="BC7" s="198" t="s">
        <v>2964</v>
      </c>
      <c r="BD7" s="198" t="s">
        <v>2964</v>
      </c>
      <c r="BE7" s="198" t="s">
        <v>2964</v>
      </c>
      <c r="BF7" s="198" t="s">
        <v>2964</v>
      </c>
      <c r="BG7" s="198" t="s">
        <v>2964</v>
      </c>
      <c r="BH7" s="198" t="s">
        <v>2964</v>
      </c>
      <c r="BI7" s="198" t="s">
        <v>2964</v>
      </c>
      <c r="BJ7" s="198" t="s">
        <v>2964</v>
      </c>
      <c r="BK7" s="198" t="s">
        <v>2964</v>
      </c>
      <c r="BL7" s="198" t="s">
        <v>2964</v>
      </c>
    </row>
    <row r="8" spans="1:64" ht="14" customHeight="1">
      <c r="A8" s="9" t="s">
        <v>572</v>
      </c>
      <c r="B8" s="9" t="s">
        <v>770</v>
      </c>
      <c r="C8" s="9" t="s">
        <v>771</v>
      </c>
      <c r="D8" s="9" t="s">
        <v>772</v>
      </c>
      <c r="E8" s="193" t="s">
        <v>2932</v>
      </c>
      <c r="F8" s="193" t="s">
        <v>2933</v>
      </c>
      <c r="G8" s="193" t="s">
        <v>2934</v>
      </c>
      <c r="H8" s="193" t="s">
        <v>2935</v>
      </c>
      <c r="I8" s="193" t="s">
        <v>2936</v>
      </c>
      <c r="J8" s="193" t="s">
        <v>2937</v>
      </c>
      <c r="K8" s="193" t="s">
        <v>2938</v>
      </c>
      <c r="L8" s="193" t="s">
        <v>2939</v>
      </c>
      <c r="M8" s="193" t="s">
        <v>2940</v>
      </c>
      <c r="N8" s="193" t="s">
        <v>2941</v>
      </c>
      <c r="O8" s="193" t="s">
        <v>2942</v>
      </c>
      <c r="P8" s="193" t="s">
        <v>2943</v>
      </c>
      <c r="Q8" s="193" t="s">
        <v>2944</v>
      </c>
      <c r="R8" s="193" t="s">
        <v>2945</v>
      </c>
      <c r="S8" s="193" t="s">
        <v>2946</v>
      </c>
      <c r="T8" s="193" t="s">
        <v>2947</v>
      </c>
      <c r="U8" s="193" t="s">
        <v>2948</v>
      </c>
      <c r="V8" s="193" t="s">
        <v>2949</v>
      </c>
      <c r="W8" s="193" t="s">
        <v>2950</v>
      </c>
      <c r="X8" s="193" t="s">
        <v>2951</v>
      </c>
      <c r="Y8" s="193" t="s">
        <v>2952</v>
      </c>
      <c r="Z8" s="193" t="s">
        <v>2953</v>
      </c>
      <c r="AA8" s="193" t="s">
        <v>2954</v>
      </c>
      <c r="AB8" s="193" t="s">
        <v>2955</v>
      </c>
      <c r="AC8" s="193" t="s">
        <v>2956</v>
      </c>
      <c r="AD8" s="193" t="s">
        <v>2957</v>
      </c>
      <c r="AE8" s="193" t="s">
        <v>2958</v>
      </c>
      <c r="AF8" s="193" t="s">
        <v>2959</v>
      </c>
      <c r="AG8" s="193" t="s">
        <v>2960</v>
      </c>
      <c r="AH8" s="193" t="s">
        <v>2961</v>
      </c>
      <c r="AI8" s="193" t="s">
        <v>2968</v>
      </c>
      <c r="AJ8" s="193" t="s">
        <v>2969</v>
      </c>
      <c r="AK8" s="193" t="s">
        <v>2970</v>
      </c>
      <c r="AL8" s="193" t="s">
        <v>2971</v>
      </c>
      <c r="AM8" s="193" t="s">
        <v>2972</v>
      </c>
      <c r="AN8" s="193" t="s">
        <v>2973</v>
      </c>
      <c r="AO8" s="193" t="s">
        <v>2974</v>
      </c>
      <c r="AP8" s="193" t="s">
        <v>2975</v>
      </c>
      <c r="AQ8" s="193" t="s">
        <v>2976</v>
      </c>
      <c r="AR8" s="193" t="s">
        <v>2977</v>
      </c>
      <c r="AS8" s="193" t="s">
        <v>2978</v>
      </c>
      <c r="AT8" s="193" t="s">
        <v>2979</v>
      </c>
      <c r="AU8" s="193" t="s">
        <v>2980</v>
      </c>
      <c r="AV8" s="193" t="s">
        <v>2981</v>
      </c>
      <c r="AW8" s="193" t="s">
        <v>2982</v>
      </c>
      <c r="AX8" s="193" t="s">
        <v>2983</v>
      </c>
      <c r="AY8" s="193" t="s">
        <v>2984</v>
      </c>
      <c r="AZ8" s="193" t="s">
        <v>2985</v>
      </c>
      <c r="BA8" s="193" t="s">
        <v>2986</v>
      </c>
      <c r="BB8" s="193" t="s">
        <v>2987</v>
      </c>
      <c r="BC8" s="193" t="s">
        <v>2988</v>
      </c>
      <c r="BD8" s="193" t="s">
        <v>2989</v>
      </c>
      <c r="BE8" s="193" t="s">
        <v>2990</v>
      </c>
      <c r="BF8" s="193" t="s">
        <v>2991</v>
      </c>
      <c r="BG8" s="193" t="s">
        <v>2992</v>
      </c>
      <c r="BH8" s="193" t="s">
        <v>2993</v>
      </c>
      <c r="BI8" s="193" t="s">
        <v>2994</v>
      </c>
      <c r="BJ8" s="193" t="s">
        <v>2995</v>
      </c>
      <c r="BK8" s="193" t="s">
        <v>2996</v>
      </c>
      <c r="BL8" s="193" t="s">
        <v>2997</v>
      </c>
    </row>
    <row r="9" spans="1:64" ht="14" customHeight="1">
      <c r="A9" s="192" t="s">
        <v>850</v>
      </c>
      <c r="B9" s="3" t="s">
        <v>851</v>
      </c>
      <c r="C9" s="3">
        <v>1</v>
      </c>
      <c r="D9" s="3" t="s">
        <v>759</v>
      </c>
      <c r="E9" s="194">
        <v>181031</v>
      </c>
      <c r="F9" s="194">
        <v>188648</v>
      </c>
      <c r="G9" s="194">
        <v>193042</v>
      </c>
      <c r="H9" s="194">
        <v>216702</v>
      </c>
      <c r="I9" s="194">
        <v>274889</v>
      </c>
      <c r="J9" s="194">
        <v>279911</v>
      </c>
      <c r="K9" s="194">
        <v>282480</v>
      </c>
      <c r="L9" s="194">
        <v>287468</v>
      </c>
      <c r="M9" s="194">
        <v>282680</v>
      </c>
      <c r="N9" s="194">
        <v>286255</v>
      </c>
      <c r="O9" s="194">
        <v>287855</v>
      </c>
      <c r="P9" s="194">
        <v>287855</v>
      </c>
      <c r="Q9" s="194">
        <v>319667</v>
      </c>
      <c r="R9" s="194">
        <v>323936</v>
      </c>
      <c r="S9" s="194">
        <v>348788</v>
      </c>
      <c r="T9" s="194">
        <v>365938.66666666669</v>
      </c>
      <c r="U9" s="194">
        <v>404654.66666666669</v>
      </c>
      <c r="V9" s="194">
        <v>428407.83333333331</v>
      </c>
      <c r="W9" s="194">
        <v>412983.83333333331</v>
      </c>
      <c r="X9" s="194">
        <v>406181.83333333331</v>
      </c>
      <c r="Y9" s="194">
        <v>426879.83333333331</v>
      </c>
      <c r="Z9" s="194">
        <v>438648.83333333331</v>
      </c>
      <c r="AA9" s="194">
        <v>468474</v>
      </c>
      <c r="AB9" s="194">
        <v>492000</v>
      </c>
      <c r="AC9" s="194">
        <v>521807</v>
      </c>
      <c r="AD9" s="194">
        <v>567405</v>
      </c>
      <c r="AE9" s="194">
        <v>583073</v>
      </c>
      <c r="AF9" s="194">
        <v>618815</v>
      </c>
      <c r="AG9" s="194">
        <v>638440</v>
      </c>
      <c r="AH9" s="194">
        <v>654435</v>
      </c>
      <c r="AI9" s="73">
        <f>(E9/Population!Z9)*1000</f>
        <v>15.968005244370961</v>
      </c>
      <c r="AJ9" s="73">
        <f>(F9/Population!AA9)*1000</f>
        <v>16.412250167277968</v>
      </c>
      <c r="AK9" s="73">
        <f>(G9/Population!AB9)*1000</f>
        <v>16.567890312501984</v>
      </c>
      <c r="AL9" s="73">
        <f>(H9/Population!AC9)*1000</f>
        <v>18.350878429050589</v>
      </c>
      <c r="AM9" s="73">
        <f>(I9/Population!AD9)*1000</f>
        <v>22.972426719915131</v>
      </c>
      <c r="AN9" s="73">
        <f>(J9/Population!AE9)*1000</f>
        <v>23.088729991584781</v>
      </c>
      <c r="AO9" s="73">
        <f>(K9/Population!AF9)*1000</f>
        <v>23.0023076408816</v>
      </c>
      <c r="AP9" s="73">
        <f>(L9/Population!AG9)*1000</f>
        <v>23.112557175776534</v>
      </c>
      <c r="AQ9" s="73">
        <f>(M9/Population!AH9)*1000</f>
        <v>22.443873246582328</v>
      </c>
      <c r="AR9" s="73">
        <f>(N9/Population!AI9)*1000</f>
        <v>22.447518618176062</v>
      </c>
      <c r="AS9" s="73">
        <f>(O9/Population!AJ9)*1000</f>
        <v>22.298085953464621</v>
      </c>
      <c r="AT9" s="73">
        <f>(P9/Population!AK9)*1000</f>
        <v>22.02979975156542</v>
      </c>
      <c r="AU9" s="73">
        <f>(Q9/Population!AL9)*1000</f>
        <v>24.173549063002454</v>
      </c>
      <c r="AV9" s="73">
        <f>(R9/Population!AM9)*1000</f>
        <v>24.208565412173588</v>
      </c>
      <c r="AW9" s="73">
        <f>(S9/Population!AN9)*1000</f>
        <v>25.763127810414083</v>
      </c>
      <c r="AX9" s="73">
        <f>(T9/Population!AO9)*1000</f>
        <v>26.719671023287155</v>
      </c>
      <c r="AY9" s="73">
        <f>(U9/Population!AP9)*1000</f>
        <v>29.211263590889274</v>
      </c>
      <c r="AZ9" s="73">
        <f>(V9/Population!AQ9)*1000</f>
        <v>30.578918386425755</v>
      </c>
      <c r="BA9" s="73">
        <f>(W9/Population!AR9)*1000</f>
        <v>29.150860999324514</v>
      </c>
      <c r="BB9" s="73">
        <f>(X9/Population!AS9)*1000</f>
        <v>28.414740097966913</v>
      </c>
      <c r="BC9" s="73">
        <f>(Y9/Population!AT9)*1000</f>
        <v>29.598403242439037</v>
      </c>
      <c r="BD9" s="73">
        <f>(Z9/Population!AU9)*1000</f>
        <v>30.147626051696072</v>
      </c>
      <c r="BE9" s="73">
        <f>(AA9/Population!AV9)*1000</f>
        <v>31.917474611935891</v>
      </c>
      <c r="BF9" s="73">
        <f>(AB9/Population!AW9)*1000</f>
        <v>33.231342829932522</v>
      </c>
      <c r="BG9" s="73">
        <f>(AC9/Population!AX9)*1000</f>
        <v>34.943362778759649</v>
      </c>
      <c r="BH9" s="73">
        <f>(AD9/Population!AY9)*1000</f>
        <v>37.674866377908245</v>
      </c>
      <c r="BI9" s="73">
        <f>(AE9/Population!AZ9)*1000</f>
        <v>38.389850757235536</v>
      </c>
      <c r="BJ9" s="73">
        <f>(AF9/Population!BA9)*1000</f>
        <v>40.403589956072935</v>
      </c>
      <c r="BK9" s="73">
        <f>(AG9/Population!BB9)*1000</f>
        <v>41.3382122835432</v>
      </c>
      <c r="BL9" s="73">
        <f>(AH9/Population!BC9)*1000</f>
        <v>42.027240980841768</v>
      </c>
    </row>
    <row r="10" spans="1:64" ht="14" customHeight="1">
      <c r="A10" s="192" t="s">
        <v>667</v>
      </c>
      <c r="B10" s="3" t="s">
        <v>668</v>
      </c>
      <c r="C10" s="3">
        <v>2</v>
      </c>
      <c r="D10" s="3" t="s">
        <v>759</v>
      </c>
      <c r="E10" s="194">
        <v>70081</v>
      </c>
      <c r="F10" s="194">
        <v>79903</v>
      </c>
      <c r="G10" s="194">
        <v>81939</v>
      </c>
      <c r="H10" s="194">
        <v>82418</v>
      </c>
      <c r="I10" s="194">
        <v>84292</v>
      </c>
      <c r="J10" s="194">
        <v>87552</v>
      </c>
      <c r="K10" s="194">
        <v>87585</v>
      </c>
      <c r="L10" s="194">
        <v>89308</v>
      </c>
      <c r="M10" s="194">
        <v>88567</v>
      </c>
      <c r="N10" s="194">
        <v>86415</v>
      </c>
      <c r="O10" s="194">
        <v>108573</v>
      </c>
      <c r="P10" s="194">
        <v>105176</v>
      </c>
      <c r="Q10" s="194">
        <v>110025</v>
      </c>
      <c r="R10" s="194">
        <v>106339</v>
      </c>
      <c r="S10" s="194">
        <v>109318</v>
      </c>
      <c r="T10" s="194">
        <v>110847</v>
      </c>
      <c r="U10" s="194">
        <v>114312</v>
      </c>
      <c r="V10" s="194">
        <v>112466</v>
      </c>
      <c r="W10" s="194">
        <v>111424</v>
      </c>
      <c r="X10" s="194">
        <v>111424</v>
      </c>
      <c r="Y10" s="194">
        <v>111721</v>
      </c>
      <c r="Z10" s="194">
        <v>111721</v>
      </c>
      <c r="AA10" s="194">
        <v>123960</v>
      </c>
      <c r="AB10" s="194">
        <v>129067</v>
      </c>
      <c r="AC10" s="194">
        <v>139463</v>
      </c>
      <c r="AD10" s="195"/>
      <c r="AE10" s="195"/>
      <c r="AF10" s="195"/>
      <c r="AG10" s="195"/>
      <c r="AH10" s="195"/>
      <c r="AI10" s="73">
        <f>(E10/Population!Z10)*1000</f>
        <v>23.882239068366054</v>
      </c>
      <c r="AJ10" s="73">
        <f>(F10/Population!AA10)*1000</f>
        <v>27.193518179920058</v>
      </c>
      <c r="AK10" s="73">
        <f>(G10/Population!AB10)*1000</f>
        <v>27.849750090137224</v>
      </c>
      <c r="AL10" s="73">
        <f>(H10/Population!AC10)*1000</f>
        <v>27.975752763563644</v>
      </c>
      <c r="AM10" s="73">
        <f>(I10/Population!AD10)*1000</f>
        <v>28.574319689523943</v>
      </c>
      <c r="AN10" s="73">
        <f>(J10/Population!AE10)*1000</f>
        <v>29.640544413436846</v>
      </c>
      <c r="AO10" s="73">
        <f>(K10/Population!AF10)*1000</f>
        <v>29.612914226211696</v>
      </c>
      <c r="AP10" s="73">
        <f>(L10/Population!AG10)*1000</f>
        <v>30.156007737345185</v>
      </c>
      <c r="AQ10" s="73">
        <f>(M10/Population!AH10)*1000</f>
        <v>29.866766844169241</v>
      </c>
      <c r="AR10" s="73">
        <f>(N10/Population!AI10)*1000</f>
        <v>29.111619098542704</v>
      </c>
      <c r="AS10" s="73">
        <f>(O10/Population!AJ10)*1000</f>
        <v>36.539319589831308</v>
      </c>
      <c r="AT10" s="73">
        <f>(P10/Population!AK10)*1000</f>
        <v>35.360394556053834</v>
      </c>
      <c r="AU10" s="73">
        <f>(Q10/Population!AL10)*1000</f>
        <v>36.953374698722101</v>
      </c>
      <c r="AV10" s="73">
        <f>(R10/Population!AM10)*1000</f>
        <v>35.679439001476311</v>
      </c>
      <c r="AW10" s="73">
        <f>(S10/Population!AN10)*1000</f>
        <v>36.642093579558946</v>
      </c>
      <c r="AX10" s="73">
        <f>(T10/Population!AO10)*1000</f>
        <v>37.117279848893588</v>
      </c>
      <c r="AY10" s="73">
        <f>(U10/Population!AP10)*1000</f>
        <v>38.239134552231945</v>
      </c>
      <c r="AZ10" s="73">
        <f>(V10/Population!AQ10)*1000</f>
        <v>37.583909304030989</v>
      </c>
      <c r="BA10" s="73">
        <f>(W10/Population!AR10)*1000</f>
        <v>37.198408090814006</v>
      </c>
      <c r="BB10" s="73">
        <f>(X10/Population!AS10)*1000</f>
        <v>37.111802235234677</v>
      </c>
      <c r="BC10" s="73">
        <f>(Y10/Population!AT10)*1000</f>
        <v>37.124290226941966</v>
      </c>
      <c r="BD10" s="73">
        <f>(Z10/Population!AU10)*1000</f>
        <v>37.038256310727633</v>
      </c>
      <c r="BE10" s="73">
        <f>(AA10/Population!AV10)*1000</f>
        <v>41.000769376328222</v>
      </c>
      <c r="BF10" s="73">
        <f>(AB10/Population!AW10)*1000</f>
        <v>42.591476536969466</v>
      </c>
      <c r="BG10" s="73">
        <f>(AC10/Population!AX10)*1000</f>
        <v>45.916189184457984</v>
      </c>
      <c r="BH10" s="73"/>
      <c r="BI10" s="73"/>
      <c r="BJ10" s="73"/>
      <c r="BK10" s="73"/>
      <c r="BL10" s="73"/>
    </row>
    <row r="11" spans="1:64" ht="14" customHeight="1">
      <c r="A11" s="192" t="s">
        <v>669</v>
      </c>
      <c r="B11" s="3" t="s">
        <v>663</v>
      </c>
      <c r="C11" s="3">
        <v>3</v>
      </c>
      <c r="D11" s="3" t="s">
        <v>664</v>
      </c>
      <c r="E11" s="194">
        <v>18887</v>
      </c>
      <c r="F11" s="194">
        <v>19131</v>
      </c>
      <c r="G11" s="194">
        <v>22104</v>
      </c>
      <c r="H11" s="194">
        <v>22895</v>
      </c>
      <c r="I11" s="194">
        <v>22185</v>
      </c>
      <c r="J11" s="194">
        <v>21517</v>
      </c>
      <c r="K11" s="194">
        <v>22615</v>
      </c>
      <c r="L11" s="194">
        <v>23971</v>
      </c>
      <c r="M11" s="194">
        <v>22480</v>
      </c>
      <c r="N11" s="194">
        <v>22752</v>
      </c>
      <c r="O11" s="194">
        <v>25656</v>
      </c>
      <c r="P11" s="194">
        <v>25175</v>
      </c>
      <c r="Q11" s="194">
        <v>23237</v>
      </c>
      <c r="R11" s="194">
        <v>22456</v>
      </c>
      <c r="S11" s="194">
        <v>21843.533333333333</v>
      </c>
      <c r="T11" s="194">
        <v>22145</v>
      </c>
      <c r="U11" s="194">
        <v>22962.766666666666</v>
      </c>
      <c r="V11" s="194">
        <v>23784.333333333332</v>
      </c>
      <c r="W11" s="194">
        <v>23994.7</v>
      </c>
      <c r="X11" s="194">
        <v>23995</v>
      </c>
      <c r="Y11" s="194">
        <v>23994.7</v>
      </c>
      <c r="Z11" s="194">
        <v>29025</v>
      </c>
      <c r="AA11" s="194">
        <v>26849</v>
      </c>
      <c r="AB11" s="194">
        <v>27218</v>
      </c>
      <c r="AC11" s="194">
        <v>31656</v>
      </c>
      <c r="AD11" s="194">
        <v>35310</v>
      </c>
      <c r="AE11" s="194">
        <v>35248</v>
      </c>
      <c r="AF11" s="194">
        <v>36412</v>
      </c>
      <c r="AG11" s="194">
        <v>35733</v>
      </c>
      <c r="AH11" s="194">
        <v>39510</v>
      </c>
      <c r="AI11" s="73">
        <f>(E11/Population!Z11)*1000</f>
        <v>84.645445295679352</v>
      </c>
      <c r="AJ11" s="73">
        <f>(F11/Population!AA11)*1000</f>
        <v>83.809146977000424</v>
      </c>
      <c r="AK11" s="73">
        <f>(G11/Population!AB11)*1000</f>
        <v>94.701712526919238</v>
      </c>
      <c r="AL11" s="73">
        <f>(H11/Population!AC11)*1000</f>
        <v>95.977919419210963</v>
      </c>
      <c r="AM11" s="73">
        <f>(I11/Population!AD11)*1000</f>
        <v>91.040648161811973</v>
      </c>
      <c r="AN11" s="73">
        <f>(J11/Population!AE11)*1000</f>
        <v>86.476073673579734</v>
      </c>
      <c r="AO11" s="73">
        <f>(K11/Population!AF11)*1000</f>
        <v>89.050094783322194</v>
      </c>
      <c r="AP11" s="73">
        <f>(L11/Population!AG11)*1000</f>
        <v>92.517799091449035</v>
      </c>
      <c r="AQ11" s="73">
        <f>(M11/Population!AH11)*1000</f>
        <v>85.076106784138304</v>
      </c>
      <c r="AR11" s="73">
        <f>(N11/Population!AI11)*1000</f>
        <v>83.833063433021422</v>
      </c>
      <c r="AS11" s="73">
        <f>(O11/Population!AJ11)*1000</f>
        <v>92.102570730078725</v>
      </c>
      <c r="AT11" s="73">
        <f>(P11/Population!AK11)*1000</f>
        <v>88.1102752155508</v>
      </c>
      <c r="AU11" s="73">
        <f>(Q11/Population!AL11)*1000</f>
        <v>79.338577730432533</v>
      </c>
      <c r="AV11" s="73">
        <f>(R11/Population!AM11)*1000</f>
        <v>74.841732864739299</v>
      </c>
      <c r="AW11" s="73">
        <f>(S11/Population!AN11)*1000</f>
        <v>71.103168635467497</v>
      </c>
      <c r="AX11" s="73">
        <f>(T11/Population!AO11)*1000</f>
        <v>70.44213613511404</v>
      </c>
      <c r="AY11" s="73">
        <f>(U11/Population!AP11)*1000</f>
        <v>71.416293974095012</v>
      </c>
      <c r="AZ11" s="73">
        <f>(V11/Population!AQ11)*1000</f>
        <v>72.359557626361493</v>
      </c>
      <c r="BA11" s="73">
        <f>(W11/Population!AR11)*1000</f>
        <v>71.44277807055937</v>
      </c>
      <c r="BB11" s="73">
        <f>(X11/Population!AS11)*1000</f>
        <v>69.863207577521578</v>
      </c>
      <c r="BC11" s="73">
        <f>(Y11/Population!AT11)*1000</f>
        <v>68.350301340434669</v>
      </c>
      <c r="BD11" s="73">
        <f>(Z11/Population!AU11)*1000</f>
        <v>80.927879332391427</v>
      </c>
      <c r="BE11" s="73">
        <f>(AA11/Population!AV11)*1000</f>
        <v>73.307737741069943</v>
      </c>
      <c r="BF11" s="73">
        <f>(AB11/Population!AW11)*1000</f>
        <v>72.804904575768731</v>
      </c>
      <c r="BG11" s="73">
        <f>(AC11/Population!AX11)*1000</f>
        <v>82.989394602380884</v>
      </c>
      <c r="BH11" s="73">
        <f>(AD11/Population!AY11)*1000</f>
        <v>90.760890882789624</v>
      </c>
      <c r="BI11" s="73">
        <f>(AE11/Population!AZ11)*1000</f>
        <v>88.866005679528087</v>
      </c>
      <c r="BJ11" s="73">
        <f>(AF11/Population!BA11)*1000</f>
        <v>90.075202849792205</v>
      </c>
      <c r="BK11" s="73">
        <f>(AG11/Population!BB11)*1000</f>
        <v>86.680930340872706</v>
      </c>
      <c r="BL11" s="73">
        <f>(AH11/Population!BC11)*1000</f>
        <v>94.001151520054066</v>
      </c>
    </row>
    <row r="12" spans="1:64" ht="14" customHeight="1">
      <c r="A12" s="192" t="s">
        <v>665</v>
      </c>
      <c r="B12" s="3" t="s">
        <v>640</v>
      </c>
      <c r="C12" s="3">
        <v>4</v>
      </c>
      <c r="D12" s="3" t="s">
        <v>641</v>
      </c>
      <c r="E12" s="194">
        <v>25943</v>
      </c>
      <c r="F12" s="194">
        <v>26737</v>
      </c>
      <c r="G12" s="194">
        <v>28148</v>
      </c>
      <c r="H12" s="194">
        <v>29613</v>
      </c>
      <c r="I12" s="194">
        <v>38523</v>
      </c>
      <c r="J12" s="194">
        <v>38318</v>
      </c>
      <c r="K12" s="194">
        <v>41776</v>
      </c>
      <c r="L12" s="194">
        <v>38404</v>
      </c>
      <c r="M12" s="194">
        <v>35596</v>
      </c>
      <c r="N12" s="194">
        <v>36897</v>
      </c>
      <c r="O12" s="194">
        <v>37903</v>
      </c>
      <c r="P12" s="194">
        <v>37067</v>
      </c>
      <c r="Q12" s="194">
        <v>39150</v>
      </c>
      <c r="R12" s="194">
        <v>39344</v>
      </c>
      <c r="S12" s="194">
        <v>38960</v>
      </c>
      <c r="T12" s="194">
        <v>40637</v>
      </c>
      <c r="U12" s="194">
        <v>41776</v>
      </c>
      <c r="V12" s="194">
        <v>42119</v>
      </c>
      <c r="W12" s="194">
        <v>41241</v>
      </c>
      <c r="X12" s="194">
        <v>40968</v>
      </c>
      <c r="Y12" s="194">
        <v>41416</v>
      </c>
      <c r="Z12" s="194">
        <v>44689</v>
      </c>
      <c r="AA12" s="194">
        <v>46616</v>
      </c>
      <c r="AB12" s="194">
        <v>46114</v>
      </c>
      <c r="AC12" s="194">
        <v>45681</v>
      </c>
      <c r="AD12" s="195"/>
      <c r="AE12" s="195"/>
      <c r="AF12" s="195"/>
      <c r="AG12" s="195">
        <v>61830</v>
      </c>
      <c r="AH12" s="195">
        <v>67124</v>
      </c>
      <c r="AI12" s="73">
        <f>(E12/Population!Z12)*1000</f>
        <v>35.10050904870775</v>
      </c>
      <c r="AJ12" s="73">
        <f>(F12/Population!AA12)*1000</f>
        <v>35.569777967930264</v>
      </c>
      <c r="AK12" s="73">
        <f>(G12/Population!AB12)*1000</f>
        <v>36.830936814531164</v>
      </c>
      <c r="AL12" s="73">
        <f>(H12/Population!AC12)*1000</f>
        <v>38.120791352253491</v>
      </c>
      <c r="AM12" s="73">
        <f>(I12/Population!AD12)*1000</f>
        <v>48.800877080581877</v>
      </c>
      <c r="AN12" s="73">
        <f>(J12/Population!AE12)*1000</f>
        <v>47.780264551137407</v>
      </c>
      <c r="AO12" s="73">
        <f>(K12/Population!AF12)*1000</f>
        <v>51.288204239706204</v>
      </c>
      <c r="AP12" s="73">
        <f>(L12/Population!AG12)*1000</f>
        <v>46.431795580550023</v>
      </c>
      <c r="AQ12" s="73">
        <f>(M12/Population!AH12)*1000</f>
        <v>42.392491398478228</v>
      </c>
      <c r="AR12" s="73">
        <f>(N12/Population!AI12)*1000</f>
        <v>43.16172093339371</v>
      </c>
      <c r="AS12" s="73">
        <f>(O12/Population!AJ12)*1000</f>
        <v>43.565044244329293</v>
      </c>
      <c r="AT12" s="73">
        <f>(P12/Population!AK12)*1000</f>
        <v>41.873674961458299</v>
      </c>
      <c r="AU12" s="73">
        <f>(Q12/Population!AL12)*1000</f>
        <v>43.481264406292482</v>
      </c>
      <c r="AV12" s="73">
        <f>(R12/Population!AM12)*1000</f>
        <v>42.972348783347563</v>
      </c>
      <c r="AW12" s="73">
        <f>(S12/Population!AN12)*1000</f>
        <v>41.859021908513547</v>
      </c>
      <c r="AX12" s="73">
        <f>(T12/Population!AO12)*1000</f>
        <v>42.96025175043706</v>
      </c>
      <c r="AY12" s="73">
        <f>(U12/Population!AP12)*1000</f>
        <v>43.466924205279248</v>
      </c>
      <c r="AZ12" s="73">
        <f>(V12/Population!AQ12)*1000</f>
        <v>43.142499720622119</v>
      </c>
      <c r="BA12" s="73">
        <f>(W12/Population!AR12)*1000</f>
        <v>41.596483548404663</v>
      </c>
      <c r="BB12" s="73">
        <f>(X12/Population!AS12)*1000</f>
        <v>40.955381646914581</v>
      </c>
      <c r="BC12" s="73">
        <f>(Y12/Population!AT12)*1000</f>
        <v>41.03998346351063</v>
      </c>
      <c r="BD12" s="73">
        <f>(Z12/Population!AU12)*1000</f>
        <v>43.898118330718276</v>
      </c>
      <c r="BE12" s="73">
        <f>(AA12/Population!AV12)*1000</f>
        <v>45.396186315235106</v>
      </c>
      <c r="BF12" s="73">
        <f>(AB12/Population!AW12)*1000</f>
        <v>44.523418677127104</v>
      </c>
      <c r="BG12" s="73">
        <f>(AC12/Population!AX12)*1000</f>
        <v>43.731506300099745</v>
      </c>
      <c r="BH12" s="73"/>
      <c r="BI12" s="73"/>
      <c r="BJ12" s="73"/>
      <c r="BK12" s="73">
        <f>(AG12/Population!BB12)*1000</f>
        <v>57.211382316936067</v>
      </c>
      <c r="BL12" s="73">
        <f>(AH12/Population!BC12)*1000</f>
        <v>61.556181800007522</v>
      </c>
    </row>
    <row r="13" spans="1:64" ht="14" customHeight="1">
      <c r="A13" s="192" t="s">
        <v>539</v>
      </c>
      <c r="B13" s="3" t="s">
        <v>540</v>
      </c>
      <c r="C13" s="3">
        <v>5</v>
      </c>
      <c r="D13" s="3" t="s">
        <v>541</v>
      </c>
      <c r="E13" s="194">
        <v>11728</v>
      </c>
      <c r="F13" s="194">
        <v>12498</v>
      </c>
      <c r="G13" s="194">
        <v>14404</v>
      </c>
      <c r="H13" s="194">
        <v>15568</v>
      </c>
      <c r="I13" s="194">
        <v>16231</v>
      </c>
      <c r="J13" s="194">
        <v>20753</v>
      </c>
      <c r="K13" s="194">
        <v>20502</v>
      </c>
      <c r="L13" s="194">
        <v>20312</v>
      </c>
      <c r="M13" s="194">
        <v>18338</v>
      </c>
      <c r="N13" s="194">
        <v>18075</v>
      </c>
      <c r="O13" s="194">
        <v>18507</v>
      </c>
      <c r="P13" s="194">
        <v>20551</v>
      </c>
      <c r="Q13" s="194">
        <v>23013</v>
      </c>
      <c r="R13" s="194">
        <v>22673</v>
      </c>
      <c r="S13" s="194">
        <v>21036</v>
      </c>
      <c r="T13" s="194">
        <v>22349</v>
      </c>
      <c r="U13" s="194">
        <v>22921</v>
      </c>
      <c r="V13" s="194">
        <v>23408</v>
      </c>
      <c r="W13" s="194">
        <v>24357</v>
      </c>
      <c r="X13" s="194">
        <v>23632</v>
      </c>
      <c r="Y13" s="194">
        <v>24906</v>
      </c>
      <c r="Z13" s="194">
        <v>26027</v>
      </c>
      <c r="AA13" s="194">
        <v>27450</v>
      </c>
      <c r="AB13" s="194">
        <v>27808</v>
      </c>
      <c r="AC13" s="194">
        <v>28506</v>
      </c>
      <c r="AD13" s="194">
        <v>31333</v>
      </c>
      <c r="AE13" s="194">
        <v>34869</v>
      </c>
      <c r="AF13" s="194">
        <v>36660</v>
      </c>
      <c r="AG13" s="194">
        <v>38738</v>
      </c>
      <c r="AH13" s="194">
        <v>40130</v>
      </c>
      <c r="AI13" s="73">
        <f>(E13/Population!Z13)*1000</f>
        <v>40.613317892330862</v>
      </c>
      <c r="AJ13" s="73">
        <f>(F13/Population!AA13)*1000</f>
        <v>42.034900873914268</v>
      </c>
      <c r="AK13" s="73">
        <f>(G13/Population!AB13)*1000</f>
        <v>47.090908763979698</v>
      </c>
      <c r="AL13" s="73">
        <f>(H13/Population!AC13)*1000</f>
        <v>49.512043356113814</v>
      </c>
      <c r="AM13" s="73">
        <f>(I13/Population!AD13)*1000</f>
        <v>50.253786109285059</v>
      </c>
      <c r="AN13" s="73">
        <f>(J13/Population!AE13)*1000</f>
        <v>62.597137845183489</v>
      </c>
      <c r="AO13" s="73">
        <f>(K13/Population!AF13)*1000</f>
        <v>60.284960675398565</v>
      </c>
      <c r="AP13" s="73">
        <f>(L13/Population!AG13)*1000</f>
        <v>58.26118640163488</v>
      </c>
      <c r="AQ13" s="73">
        <f>(M13/Population!AH13)*1000</f>
        <v>51.339766902116246</v>
      </c>
      <c r="AR13" s="73">
        <f>(N13/Population!AI13)*1000</f>
        <v>49.655556642223956</v>
      </c>
      <c r="AS13" s="73">
        <f>(O13/Population!AJ13)*1000</f>
        <v>49.90747687191466</v>
      </c>
      <c r="AT13" s="73">
        <f>(P13/Population!AK13)*1000</f>
        <v>54.418861321538124</v>
      </c>
      <c r="AU13" s="73">
        <f>(Q13/Population!AL13)*1000</f>
        <v>59.857453271234661</v>
      </c>
      <c r="AV13" s="73">
        <f>(R13/Population!AM13)*1000</f>
        <v>57.945420438456154</v>
      </c>
      <c r="AW13" s="73">
        <f>(S13/Population!AN13)*1000</f>
        <v>52.840915085282461</v>
      </c>
      <c r="AX13" s="73">
        <f>(T13/Population!AO13)*1000</f>
        <v>55.193727538728716</v>
      </c>
      <c r="AY13" s="73">
        <f>(U13/Population!AP13)*1000</f>
        <v>55.668923280786949</v>
      </c>
      <c r="AZ13" s="73">
        <f>(V13/Population!AQ13)*1000</f>
        <v>55.925557463701423</v>
      </c>
      <c r="BA13" s="73">
        <f>(W13/Population!AR13)*1000</f>
        <v>57.260064648839261</v>
      </c>
      <c r="BB13" s="73">
        <f>(X13/Population!AS13)*1000</f>
        <v>54.905177745057919</v>
      </c>
      <c r="BC13" s="73">
        <f>(Y13/Population!AT13)*1000</f>
        <v>57.195405187627387</v>
      </c>
      <c r="BD13" s="73">
        <f>(Z13/Population!AU13)*1000</f>
        <v>59.085891071515036</v>
      </c>
      <c r="BE13" s="73">
        <f>(AA13/Population!AV13)*1000</f>
        <v>61.611444295477177</v>
      </c>
      <c r="BF13" s="73">
        <f>(AB13/Population!AW13)*1000</f>
        <v>61.716847374356284</v>
      </c>
      <c r="BG13" s="73">
        <f>(AC13/Population!AX13)*1000</f>
        <v>62.566164882629614</v>
      </c>
      <c r="BH13" s="73">
        <f>(AD13/Population!AY13)*1000</f>
        <v>68.018595497734708</v>
      </c>
      <c r="BI13" s="73">
        <f>(AE13/Population!AZ13)*1000</f>
        <v>74.875472741475605</v>
      </c>
      <c r="BJ13" s="73">
        <f>(AF13/Population!BA13)*1000</f>
        <v>77.878542613328577</v>
      </c>
      <c r="BK13" s="73">
        <f>(AG13/Population!BB13)*1000</f>
        <v>81.43744297613091</v>
      </c>
      <c r="BL13" s="73">
        <f>(AH13/Population!BC13)*1000</f>
        <v>83.501181875686655</v>
      </c>
    </row>
    <row r="14" spans="1:64" ht="14" customHeight="1">
      <c r="A14" s="192" t="s">
        <v>542</v>
      </c>
      <c r="B14" s="3" t="s">
        <v>543</v>
      </c>
      <c r="C14" s="3">
        <v>6</v>
      </c>
      <c r="D14" s="3" t="s">
        <v>759</v>
      </c>
      <c r="E14" s="194">
        <v>60181</v>
      </c>
      <c r="F14" s="194">
        <v>60581</v>
      </c>
      <c r="G14" s="194">
        <v>64887</v>
      </c>
      <c r="H14" s="194">
        <v>66121</v>
      </c>
      <c r="I14" s="194">
        <v>72722</v>
      </c>
      <c r="J14" s="194">
        <v>76143</v>
      </c>
      <c r="K14" s="194">
        <v>79036</v>
      </c>
      <c r="L14" s="194">
        <v>84075</v>
      </c>
      <c r="M14" s="194">
        <v>79923</v>
      </c>
      <c r="N14" s="194">
        <v>80224</v>
      </c>
      <c r="O14" s="194">
        <v>87176</v>
      </c>
      <c r="P14" s="194">
        <v>85479</v>
      </c>
      <c r="Q14" s="194">
        <v>83288.333333333328</v>
      </c>
      <c r="R14" s="194">
        <v>76892.899999999994</v>
      </c>
      <c r="S14" s="194">
        <v>75730.933333333334</v>
      </c>
      <c r="T14" s="194">
        <v>74368.866666666669</v>
      </c>
      <c r="U14" s="194">
        <v>72528.133333333331</v>
      </c>
      <c r="V14" s="194">
        <v>76079.133333333331</v>
      </c>
      <c r="W14" s="194">
        <v>95274.333333333328</v>
      </c>
      <c r="X14" s="194">
        <v>86309</v>
      </c>
      <c r="Y14" s="194">
        <v>88914</v>
      </c>
      <c r="Z14" s="194">
        <v>89782</v>
      </c>
      <c r="AA14" s="194">
        <v>95723</v>
      </c>
      <c r="AB14" s="194">
        <v>94199</v>
      </c>
      <c r="AC14" s="194">
        <v>100658</v>
      </c>
      <c r="AD14" s="194">
        <v>106841</v>
      </c>
      <c r="AE14" s="194">
        <v>108468</v>
      </c>
      <c r="AF14" s="194">
        <v>112924</v>
      </c>
      <c r="AG14" s="194">
        <v>116086</v>
      </c>
      <c r="AH14" s="194">
        <v>117844</v>
      </c>
      <c r="AI14" s="73">
        <f>(E14/Population!Z14)*1000</f>
        <v>24.018179440277162</v>
      </c>
      <c r="AJ14" s="73">
        <f>(F14/Population!AA14)*1000</f>
        <v>23.867009450833038</v>
      </c>
      <c r="AK14" s="73">
        <f>(G14/Population!AB14)*1000</f>
        <v>25.238986994260966</v>
      </c>
      <c r="AL14" s="73">
        <f>(H14/Population!AC14)*1000</f>
        <v>25.396638837180316</v>
      </c>
      <c r="AM14" s="73">
        <f>(I14/Population!AD14)*1000</f>
        <v>27.586302123760614</v>
      </c>
      <c r="AN14" s="73">
        <f>(J14/Population!AE14)*1000</f>
        <v>28.530871986226884</v>
      </c>
      <c r="AO14" s="73">
        <f>(K14/Population!AF14)*1000</f>
        <v>29.257170812777499</v>
      </c>
      <c r="AP14" s="73">
        <f>(L14/Population!AG14)*1000</f>
        <v>30.751048690312562</v>
      </c>
      <c r="AQ14" s="73">
        <f>(M14/Population!AH14)*1000</f>
        <v>28.887660783689348</v>
      </c>
      <c r="AR14" s="73">
        <f>(N14/Population!AI14)*1000</f>
        <v>28.605972659231174</v>
      </c>
      <c r="AS14" s="73">
        <f>(O14/Population!AJ14)*1000</f>
        <v>30.671846287804485</v>
      </c>
      <c r="AT14" s="73">
        <f>(P14/Population!AK14)*1000</f>
        <v>29.680394866370516</v>
      </c>
      <c r="AU14" s="73">
        <f>(Q14/Population!AL14)*1000</f>
        <v>28.545415033872121</v>
      </c>
      <c r="AV14" s="73">
        <f>(R14/Population!AM14)*1000</f>
        <v>26.016756135014731</v>
      </c>
      <c r="AW14" s="73">
        <f>(S14/Population!AN14)*1000</f>
        <v>25.300310392975273</v>
      </c>
      <c r="AX14" s="73">
        <f>(T14/Population!AO14)*1000</f>
        <v>24.53570143026371</v>
      </c>
      <c r="AY14" s="73">
        <f>(U14/Population!AP14)*1000</f>
        <v>23.633933993293088</v>
      </c>
      <c r="AZ14" s="73">
        <f>(V14/Population!AQ14)*1000</f>
        <v>24.489676969605295</v>
      </c>
      <c r="BA14" s="73">
        <f>(W14/Population!AR14)*1000</f>
        <v>30.300206571838253</v>
      </c>
      <c r="BB14" s="73">
        <f>(X14/Population!AS14)*1000</f>
        <v>27.206355902030385</v>
      </c>
      <c r="BC14" s="73">
        <f>(Y14/Population!AT14)*1000</f>
        <v>27.781967330363663</v>
      </c>
      <c r="BD14" s="73">
        <f>(Z14/Population!AU14)*1000</f>
        <v>27.80955248308868</v>
      </c>
      <c r="BE14" s="73">
        <f>(AA14/Population!AV14)*1000</f>
        <v>29.394471672579922</v>
      </c>
      <c r="BF14" s="73">
        <f>(AB14/Population!AW14)*1000</f>
        <v>28.679560447884501</v>
      </c>
      <c r="BG14" s="73">
        <f>(AC14/Population!AX14)*1000</f>
        <v>30.386660274855913</v>
      </c>
      <c r="BH14" s="73">
        <f>(AD14/Population!AY14)*1000</f>
        <v>31.982485113421063</v>
      </c>
      <c r="BI14" s="73">
        <f>(AE14/Population!AZ14)*1000</f>
        <v>32.199274765274474</v>
      </c>
      <c r="BJ14" s="73">
        <f>(AF14/Population!BA14)*1000</f>
        <v>33.245355397983623</v>
      </c>
      <c r="BK14" s="73">
        <f>(AG14/Population!BB14)*1000</f>
        <v>33.89989884288407</v>
      </c>
      <c r="BL14" s="73">
        <f>(AH14/Population!BC14)*1000</f>
        <v>34.138781138558073</v>
      </c>
    </row>
    <row r="15" spans="1:64" ht="14" customHeight="1">
      <c r="A15" s="192" t="s">
        <v>628</v>
      </c>
      <c r="B15" s="3" t="s">
        <v>629</v>
      </c>
      <c r="C15" s="3">
        <v>7</v>
      </c>
      <c r="D15" s="3" t="s">
        <v>641</v>
      </c>
      <c r="E15" s="194">
        <v>29512</v>
      </c>
      <c r="F15" s="194">
        <v>33344</v>
      </c>
      <c r="G15" s="194">
        <v>38318</v>
      </c>
      <c r="H15" s="194">
        <v>41164</v>
      </c>
      <c r="I15" s="194">
        <v>35843</v>
      </c>
      <c r="J15" s="194">
        <v>36440</v>
      </c>
      <c r="K15" s="194">
        <v>38417</v>
      </c>
      <c r="L15" s="194">
        <v>40245</v>
      </c>
      <c r="M15" s="196">
        <v>39353.65</v>
      </c>
      <c r="N15" s="196">
        <v>41937</v>
      </c>
      <c r="O15" s="196">
        <v>41433</v>
      </c>
      <c r="P15" s="196">
        <v>39440</v>
      </c>
      <c r="Q15" s="196">
        <v>41051</v>
      </c>
      <c r="R15" s="196">
        <v>39872</v>
      </c>
      <c r="S15" s="196">
        <v>40576</v>
      </c>
      <c r="T15" s="196">
        <v>42343</v>
      </c>
      <c r="U15" s="196">
        <v>41401</v>
      </c>
      <c r="V15" s="196">
        <v>36967</v>
      </c>
      <c r="W15" s="196">
        <v>36515</v>
      </c>
      <c r="X15" s="196">
        <v>36515</v>
      </c>
      <c r="Y15" s="196">
        <v>38519</v>
      </c>
      <c r="Z15" s="196">
        <v>40633</v>
      </c>
      <c r="AA15" s="196">
        <v>44386</v>
      </c>
      <c r="AB15" s="196">
        <v>45940</v>
      </c>
      <c r="AC15" s="196">
        <v>45118</v>
      </c>
      <c r="AD15" s="196">
        <v>46572</v>
      </c>
      <c r="AE15" s="196">
        <v>53680</v>
      </c>
      <c r="AF15" s="196"/>
      <c r="AG15" s="196"/>
      <c r="AH15" s="196">
        <v>52098</v>
      </c>
      <c r="AI15" s="73">
        <f>(E15/Population!Z15)*1000</f>
        <v>42.27852240174326</v>
      </c>
      <c r="AJ15" s="73">
        <f>(F15/Population!AA15)*1000</f>
        <v>46.948027615420074</v>
      </c>
      <c r="AK15" s="73">
        <f>(G15/Population!AB15)*1000</f>
        <v>53.04067306590386</v>
      </c>
      <c r="AL15" s="73">
        <f>(H15/Population!AC15)*1000</f>
        <v>56.034315477960497</v>
      </c>
      <c r="AM15" s="73">
        <f>(I15/Population!AD15)*1000</f>
        <v>47.994430541120572</v>
      </c>
      <c r="AN15" s="73">
        <f>(J15/Population!AE15)*1000</f>
        <v>48.009884871663672</v>
      </c>
      <c r="AO15" s="73">
        <f>(K15/Population!AF15)*1000</f>
        <v>49.814257536301213</v>
      </c>
      <c r="AP15" s="73">
        <f>(L15/Population!AG15)*1000</f>
        <v>51.372259707356193</v>
      </c>
      <c r="AQ15" s="73">
        <f>(M15/Population!AH15)*1000</f>
        <v>49.464488168588503</v>
      </c>
      <c r="AR15" s="73">
        <f>(N15/Population!AI15)*1000</f>
        <v>51.777110386102891</v>
      </c>
      <c r="AS15" s="73">
        <f>(O15/Population!AJ15)*1000</f>
        <v>50.263796067261019</v>
      </c>
      <c r="AT15" s="73">
        <f>(P15/Population!AK15)*1000</f>
        <v>47.02686815247246</v>
      </c>
      <c r="AU15" s="73">
        <f>(Q15/Population!AL15)*1000</f>
        <v>48.123859943636084</v>
      </c>
      <c r="AV15" s="73">
        <f>(R15/Population!AM15)*1000</f>
        <v>45.96797390782541</v>
      </c>
      <c r="AW15" s="73">
        <f>(S15/Population!AN15)*1000</f>
        <v>46.017839624834842</v>
      </c>
      <c r="AX15" s="73">
        <f>(T15/Population!AO15)*1000</f>
        <v>47.252354220243532</v>
      </c>
      <c r="AY15" s="73">
        <f>(U15/Population!AP15)*1000</f>
        <v>45.472518347827801</v>
      </c>
      <c r="AZ15" s="73">
        <f>(V15/Population!AQ15)*1000</f>
        <v>39.972081068704682</v>
      </c>
      <c r="BA15" s="73">
        <f>(W15/Population!AR15)*1000</f>
        <v>38.879702378353855</v>
      </c>
      <c r="BB15" s="73">
        <f>(X15/Population!AS15)*1000</f>
        <v>38.440690625353028</v>
      </c>
      <c r="BC15" s="73">
        <f>(Y15/Population!AT15)*1000</f>
        <v>40.097611696348103</v>
      </c>
      <c r="BD15" s="73">
        <f>(Z15/Population!AU15)*1000</f>
        <v>41.831184419622097</v>
      </c>
      <c r="BE15" s="73">
        <f>(AA15/Population!AV15)*1000</f>
        <v>45.195792907675703</v>
      </c>
      <c r="BF15" s="73">
        <f>(AB15/Population!AW15)*1000</f>
        <v>46.272773426462813</v>
      </c>
      <c r="BG15" s="73">
        <f>(AC15/Population!AX15)*1000</f>
        <v>44.959101049161944</v>
      </c>
      <c r="BH15" s="73">
        <f>(AD15/Population!AY15)*1000</f>
        <v>45.917211382246883</v>
      </c>
      <c r="BI15" s="73">
        <f>(AE15/Population!AZ15)*1000</f>
        <v>52.37144191516353</v>
      </c>
      <c r="BJ15" s="73"/>
      <c r="BK15" s="73"/>
      <c r="BL15" s="73">
        <f>(AH15/Population!BC15)*1000</f>
        <v>49.234473771004602</v>
      </c>
    </row>
    <row r="16" spans="1:64" ht="14" customHeight="1">
      <c r="A16" s="192" t="s">
        <v>630</v>
      </c>
      <c r="B16" s="3" t="s">
        <v>631</v>
      </c>
      <c r="C16" s="3">
        <v>8</v>
      </c>
      <c r="D16" s="3" t="s">
        <v>759</v>
      </c>
      <c r="E16" s="194">
        <v>27522</v>
      </c>
      <c r="F16" s="194">
        <v>30288</v>
      </c>
      <c r="G16" s="194">
        <v>28354</v>
      </c>
      <c r="H16" s="194">
        <v>33505</v>
      </c>
      <c r="I16" s="194">
        <v>34780</v>
      </c>
      <c r="J16" s="194">
        <v>36285</v>
      </c>
      <c r="K16" s="194">
        <v>40805</v>
      </c>
      <c r="L16" s="194">
        <v>41855</v>
      </c>
      <c r="M16" s="194">
        <v>43247</v>
      </c>
      <c r="N16" s="194">
        <v>42077</v>
      </c>
      <c r="O16" s="194">
        <v>40034</v>
      </c>
      <c r="P16" s="194">
        <v>46885</v>
      </c>
      <c r="Q16" s="194">
        <v>46745</v>
      </c>
      <c r="R16" s="194">
        <v>47849.5</v>
      </c>
      <c r="S16" s="194">
        <v>49249</v>
      </c>
      <c r="T16" s="194">
        <v>49595.133333333331</v>
      </c>
      <c r="U16" s="194">
        <v>50283</v>
      </c>
      <c r="V16" s="194">
        <v>54159</v>
      </c>
      <c r="W16" s="194">
        <v>54103</v>
      </c>
      <c r="X16" s="194">
        <v>54103</v>
      </c>
      <c r="Y16" s="194">
        <v>56736</v>
      </c>
      <c r="Z16" s="194">
        <v>58502</v>
      </c>
      <c r="AA16" s="194">
        <v>60418</v>
      </c>
      <c r="AB16" s="194">
        <v>64136</v>
      </c>
      <c r="AC16" s="194">
        <v>65169</v>
      </c>
      <c r="AD16" s="194">
        <v>67561</v>
      </c>
      <c r="AE16" s="194">
        <v>68595</v>
      </c>
      <c r="AF16" s="194">
        <v>68933</v>
      </c>
      <c r="AG16" s="194">
        <v>70588</v>
      </c>
      <c r="AH16" s="194">
        <v>72282</v>
      </c>
      <c r="AI16" s="73">
        <f>(E16/Population!Z16)*1000</f>
        <v>29.314799943479375</v>
      </c>
      <c r="AJ16" s="73">
        <f>(F16/Population!AA16)*1000</f>
        <v>31.915031160937392</v>
      </c>
      <c r="AK16" s="73">
        <f>(G16/Population!AB16)*1000</f>
        <v>29.560153588527999</v>
      </c>
      <c r="AL16" s="73">
        <f>(H16/Population!AC16)*1000</f>
        <v>34.5635658896176</v>
      </c>
      <c r="AM16" s="73">
        <f>(I16/Population!AD16)*1000</f>
        <v>35.506096477414445</v>
      </c>
      <c r="AN16" s="73">
        <f>(J16/Population!AE16)*1000</f>
        <v>36.661631539903098</v>
      </c>
      <c r="AO16" s="73">
        <f>(K16/Population!AF16)*1000</f>
        <v>40.808936021879305</v>
      </c>
      <c r="AP16" s="73">
        <f>(L16/Population!AG16)*1000</f>
        <v>41.437299588953472</v>
      </c>
      <c r="AQ16" s="73">
        <f>(M16/Population!AH16)*1000</f>
        <v>42.38833940859999</v>
      </c>
      <c r="AR16" s="73">
        <f>(N16/Population!AI16)*1000</f>
        <v>40.631156546746645</v>
      </c>
      <c r="AS16" s="73">
        <f>(O16/Population!AJ16)*1000</f>
        <v>38.094523976408304</v>
      </c>
      <c r="AT16" s="73">
        <f>(P16/Population!AK16)*1000</f>
        <v>43.972284658666837</v>
      </c>
      <c r="AU16" s="73">
        <f>(Q16/Population!AL16)*1000</f>
        <v>43.219682841772048</v>
      </c>
      <c r="AV16" s="73">
        <f>(R16/Population!AM16)*1000</f>
        <v>43.622680384175332</v>
      </c>
      <c r="AW16" s="73">
        <f>(S16/Population!AN16)*1000</f>
        <v>44.27980513972652</v>
      </c>
      <c r="AX16" s="73">
        <f>(T16/Population!AO16)*1000</f>
        <v>43.984856136190949</v>
      </c>
      <c r="AY16" s="73">
        <f>(U16/Population!AP16)*1000</f>
        <v>43.99682975730213</v>
      </c>
      <c r="AZ16" s="73">
        <f>(V16/Population!AQ16)*1000</f>
        <v>46.761135805445221</v>
      </c>
      <c r="BA16" s="73">
        <f>(W16/Population!AR16)*1000</f>
        <v>46.10266605199854</v>
      </c>
      <c r="BB16" s="73">
        <f>(X16/Population!AS16)*1000</f>
        <v>45.633958014363195</v>
      </c>
      <c r="BC16" s="73">
        <f>(Y16/Population!AT16)*1000</f>
        <v>47.373171184426973</v>
      </c>
      <c r="BD16" s="73">
        <f>(Z16/Population!AU16)*1000</f>
        <v>48.361018449883126</v>
      </c>
      <c r="BE16" s="73">
        <f>(AA16/Population!AV16)*1000</f>
        <v>49.452145076213824</v>
      </c>
      <c r="BF16" s="73">
        <f>(AB16/Population!AW16)*1000</f>
        <v>51.982484684311125</v>
      </c>
      <c r="BG16" s="73">
        <f>(AC16/Population!AX16)*1000</f>
        <v>52.30871008369602</v>
      </c>
      <c r="BH16" s="73">
        <f>(AD16/Population!AY16)*1000</f>
        <v>53.709053713108062</v>
      </c>
      <c r="BI16" s="73">
        <f>(AE16/Population!AZ16)*1000</f>
        <v>54.013486717619422</v>
      </c>
      <c r="BJ16" s="73">
        <f>(AF16/Population!BA16)*1000</f>
        <v>53.769303611349017</v>
      </c>
      <c r="BK16" s="73">
        <f>(AG16/Population!BB16)*1000</f>
        <v>54.512275455807043</v>
      </c>
      <c r="BL16" s="73">
        <f>(AH16/Population!BC16)*1000</f>
        <v>55.272454769296644</v>
      </c>
    </row>
    <row r="17" spans="1:64" ht="14" customHeight="1">
      <c r="A17" s="192" t="s">
        <v>632</v>
      </c>
      <c r="B17" s="3" t="s">
        <v>633</v>
      </c>
      <c r="C17" s="3">
        <v>9</v>
      </c>
      <c r="D17" s="3" t="s">
        <v>641</v>
      </c>
      <c r="E17" s="194">
        <v>18921</v>
      </c>
      <c r="F17" s="194">
        <v>20597</v>
      </c>
      <c r="G17" s="194">
        <v>22453</v>
      </c>
      <c r="H17" s="194">
        <v>26030</v>
      </c>
      <c r="I17" s="194">
        <v>28990</v>
      </c>
      <c r="J17" s="194">
        <v>30060</v>
      </c>
      <c r="K17" s="194">
        <v>32810</v>
      </c>
      <c r="L17" s="194">
        <v>34435.699999999997</v>
      </c>
      <c r="M17" s="194">
        <v>30699</v>
      </c>
      <c r="N17" s="194">
        <v>31151</v>
      </c>
      <c r="O17" s="194">
        <v>32015</v>
      </c>
      <c r="P17" s="194">
        <v>32493</v>
      </c>
      <c r="Q17" s="194">
        <v>32415</v>
      </c>
      <c r="R17" s="194">
        <v>32571.599999999999</v>
      </c>
      <c r="S17" s="194">
        <v>32049.533333333333</v>
      </c>
      <c r="T17" s="194">
        <v>32909.333333333336</v>
      </c>
      <c r="U17" s="194">
        <v>33439.599999999999</v>
      </c>
      <c r="V17" s="194">
        <v>33696.73333333333</v>
      </c>
      <c r="W17" s="194">
        <v>33442.966666666667</v>
      </c>
      <c r="X17" s="194">
        <v>33628.966666666667</v>
      </c>
      <c r="Y17" s="194">
        <v>34295.966666666667</v>
      </c>
      <c r="Z17" s="194">
        <v>33374</v>
      </c>
      <c r="AA17" s="194">
        <v>35963</v>
      </c>
      <c r="AB17" s="194">
        <v>37270</v>
      </c>
      <c r="AC17" s="194">
        <v>39204</v>
      </c>
      <c r="AD17" s="194">
        <v>35699</v>
      </c>
      <c r="AE17" s="194">
        <v>35920</v>
      </c>
      <c r="AF17" s="194">
        <v>36237</v>
      </c>
      <c r="AG17" s="194">
        <v>37610</v>
      </c>
      <c r="AH17" s="194">
        <v>37288</v>
      </c>
      <c r="AI17" s="73">
        <f>(E17/Population!Z17)*1000</f>
        <v>58.425442206581444</v>
      </c>
      <c r="AJ17" s="73">
        <f>(F17/Population!AA17)*1000</f>
        <v>61.821444588602105</v>
      </c>
      <c r="AK17" s="73">
        <f>(G17/Population!AB17)*1000</f>
        <v>65.558170167613497</v>
      </c>
      <c r="AL17" s="73">
        <f>(H17/Population!AC17)*1000</f>
        <v>73.988743989764714</v>
      </c>
      <c r="AM17" s="73">
        <f>(I17/Population!AD17)*1000</f>
        <v>80.275618680233379</v>
      </c>
      <c r="AN17" s="73">
        <f>(J17/Population!AE17)*1000</f>
        <v>81.144256023246882</v>
      </c>
      <c r="AO17" s="73">
        <f>(K17/Population!AF17)*1000</f>
        <v>86.393962102147057</v>
      </c>
      <c r="AP17" s="73">
        <f>(L17/Population!AG17)*1000</f>
        <v>88.5026167945433</v>
      </c>
      <c r="AQ17" s="73">
        <f>(M17/Population!AH17)*1000</f>
        <v>77.053208605140895</v>
      </c>
      <c r="AR17" s="73">
        <f>(N17/Population!AI17)*1000</f>
        <v>76.437043907562</v>
      </c>
      <c r="AS17" s="73">
        <f>(O17/Population!AJ17)*1000</f>
        <v>76.836676162750237</v>
      </c>
      <c r="AT17" s="73">
        <f>(P17/Population!AK17)*1000</f>
        <v>76.312625062237544</v>
      </c>
      <c r="AU17" s="73">
        <f>(Q17/Population!AL17)*1000</f>
        <v>74.532147808872111</v>
      </c>
      <c r="AV17" s="73">
        <f>(R17/Population!AM17)*1000</f>
        <v>73.353181484467541</v>
      </c>
      <c r="AW17" s="73">
        <f>(S17/Population!AN17)*1000</f>
        <v>70.724073530569214</v>
      </c>
      <c r="AX17" s="73">
        <f>(T17/Population!AO17)*1000</f>
        <v>71.187946330714482</v>
      </c>
      <c r="AY17" s="73">
        <f>(U17/Population!AP17)*1000</f>
        <v>70.934827847344053</v>
      </c>
      <c r="AZ17" s="73">
        <f>(V17/Population!AQ17)*1000</f>
        <v>70.12293165854382</v>
      </c>
      <c r="BA17" s="73">
        <f>(W17/Population!AR17)*1000</f>
        <v>68.297924627073442</v>
      </c>
      <c r="BB17" s="73">
        <f>(X17/Population!AS17)*1000</f>
        <v>67.66394678618704</v>
      </c>
      <c r="BC17" s="73">
        <f>(Y17/Population!AT17)*1000</f>
        <v>68.002142590389766</v>
      </c>
      <c r="BD17" s="73">
        <f>(Z17/Population!AU17)*1000</f>
        <v>65.22520921698225</v>
      </c>
      <c r="BE17" s="73">
        <f>(AA17/Population!AV17)*1000</f>
        <v>69.291521122777368</v>
      </c>
      <c r="BF17" s="73">
        <f>(AB17/Population!AW17)*1000</f>
        <v>70.80881583626342</v>
      </c>
      <c r="BG17" s="73">
        <f>(AC17/Population!AX17)*1000</f>
        <v>73.459245998664343</v>
      </c>
      <c r="BH17" s="73">
        <f>(AD17/Population!AY17)*1000</f>
        <v>65.984567976766286</v>
      </c>
      <c r="BI17" s="73">
        <f>(AE17/Population!AZ17)*1000</f>
        <v>65.504745246173655</v>
      </c>
      <c r="BJ17" s="73">
        <f>(AF17/Population!BA17)*1000</f>
        <v>65.21034958088444</v>
      </c>
      <c r="BK17" s="73">
        <f>(AG17/Population!BB17)*1000</f>
        <v>66.708999063484399</v>
      </c>
      <c r="BL17" s="73">
        <f>(AH17/Population!BC17)*1000</f>
        <v>65.181973918819708</v>
      </c>
    </row>
    <row r="18" spans="1:64" ht="14" customHeight="1">
      <c r="A18" s="192" t="s">
        <v>634</v>
      </c>
      <c r="B18" s="3" t="s">
        <v>715</v>
      </c>
      <c r="C18" s="3">
        <v>10</v>
      </c>
      <c r="D18" s="3" t="s">
        <v>664</v>
      </c>
      <c r="E18" s="194">
        <v>20800</v>
      </c>
      <c r="F18" s="194">
        <v>21325</v>
      </c>
      <c r="G18" s="194">
        <v>22358</v>
      </c>
      <c r="H18" s="194">
        <v>23250</v>
      </c>
      <c r="I18" s="194">
        <v>31846</v>
      </c>
      <c r="J18" s="194">
        <v>36499</v>
      </c>
      <c r="K18" s="194">
        <v>36748</v>
      </c>
      <c r="L18" s="194">
        <v>36748</v>
      </c>
      <c r="M18" s="194">
        <v>27489</v>
      </c>
      <c r="N18" s="194">
        <v>26222</v>
      </c>
      <c r="O18" s="194">
        <v>27175</v>
      </c>
      <c r="P18" s="194">
        <v>27075</v>
      </c>
      <c r="Q18" s="194">
        <v>27217</v>
      </c>
      <c r="R18" s="194">
        <v>25111</v>
      </c>
      <c r="S18" s="194">
        <v>28479.5</v>
      </c>
      <c r="T18" s="194">
        <v>29133.166666666668</v>
      </c>
      <c r="U18" s="194">
        <v>28938.166666666668</v>
      </c>
      <c r="V18" s="194">
        <v>29622.166666666668</v>
      </c>
      <c r="W18" s="194">
        <v>29619.166666666668</v>
      </c>
      <c r="X18" s="194">
        <v>31353</v>
      </c>
      <c r="Y18" s="194">
        <v>32869</v>
      </c>
      <c r="Z18" s="194">
        <v>35661</v>
      </c>
      <c r="AA18" s="194">
        <v>37213</v>
      </c>
      <c r="AB18" s="194">
        <v>38515</v>
      </c>
      <c r="AC18" s="194">
        <v>41838</v>
      </c>
      <c r="AD18" s="194">
        <v>45146</v>
      </c>
      <c r="AE18" s="194">
        <v>47585</v>
      </c>
      <c r="AF18" s="194">
        <v>50536</v>
      </c>
      <c r="AG18" s="194">
        <v>56828</v>
      </c>
      <c r="AH18" s="194">
        <v>56706</v>
      </c>
      <c r="AI18" s="73">
        <f>(E18/Population!Z18)*1000</f>
        <v>47.497939833948571</v>
      </c>
      <c r="AJ18" s="73">
        <f>(F18/Population!AA18)*1000</f>
        <v>47.683931626362622</v>
      </c>
      <c r="AK18" s="73">
        <f>(G18/Population!AB18)*1000</f>
        <v>48.975116071660338</v>
      </c>
      <c r="AL18" s="73">
        <f>(H18/Population!AC18)*1000</f>
        <v>49.912042101290531</v>
      </c>
      <c r="AM18" s="73">
        <f>(I18/Population!AD18)*1000</f>
        <v>67.027085458755209</v>
      </c>
      <c r="AN18" s="73">
        <f>(J18/Population!AE18)*1000</f>
        <v>75.345265721855185</v>
      </c>
      <c r="AO18" s="73">
        <f>(K18/Population!AF18)*1000</f>
        <v>74.4300705910928</v>
      </c>
      <c r="AP18" s="73">
        <f>(L18/Population!AG18)*1000</f>
        <v>73.053719631680266</v>
      </c>
      <c r="AQ18" s="73">
        <f>(M18/Population!AH18)*1000</f>
        <v>53.654975611374724</v>
      </c>
      <c r="AR18" s="73">
        <f>(N18/Population!AI18)*1000</f>
        <v>50.156617490661858</v>
      </c>
      <c r="AS18" s="73">
        <f>(O18/Population!AJ18)*1000</f>
        <v>50.958622161365653</v>
      </c>
      <c r="AT18" s="73">
        <f>(P18/Population!AK18)*1000</f>
        <v>49.793176707202512</v>
      </c>
      <c r="AU18" s="73">
        <f>(Q18/Population!AL18)*1000</f>
        <v>49.108426830663348</v>
      </c>
      <c r="AV18" s="73">
        <f>(R18/Population!AM18)*1000</f>
        <v>44.468174026378797</v>
      </c>
      <c r="AW18" s="73">
        <f>(S18/Population!AN18)*1000</f>
        <v>49.514977674403404</v>
      </c>
      <c r="AX18" s="73">
        <f>(T18/Population!AO18)*1000</f>
        <v>49.745624238301346</v>
      </c>
      <c r="AY18" s="73">
        <f>(U18/Population!AP18)*1000</f>
        <v>48.544506367494577</v>
      </c>
      <c r="AZ18" s="73">
        <f>(V18/Population!AQ18)*1000</f>
        <v>48.83395077440607</v>
      </c>
      <c r="BA18" s="73">
        <f>(W18/Population!AR18)*1000</f>
        <v>48.000231202756716</v>
      </c>
      <c r="BB18" s="73">
        <f>(X18/Population!AS18)*1000</f>
        <v>50.075971636042027</v>
      </c>
      <c r="BC18" s="73">
        <f>(Y18/Population!AT18)*1000</f>
        <v>51.749627527533349</v>
      </c>
      <c r="BD18" s="73">
        <f>(Z18/Population!AU18)*1000</f>
        <v>55.357031977646692</v>
      </c>
      <c r="BE18" s="73">
        <f>(AA18/Population!AV18)*1000</f>
        <v>56.966317128439591</v>
      </c>
      <c r="BF18" s="73">
        <f>(AB18/Population!AW18)*1000</f>
        <v>58.154166082772065</v>
      </c>
      <c r="BG18" s="73">
        <f>(AC18/Population!AX18)*1000</f>
        <v>62.320414337359622</v>
      </c>
      <c r="BH18" s="73">
        <f>(AD18/Population!AY18)*1000</f>
        <v>66.353835849463948</v>
      </c>
      <c r="BI18" s="73">
        <f>(AE18/Population!AZ18)*1000</f>
        <v>69.020952475219588</v>
      </c>
      <c r="BJ18" s="73">
        <f>(AF18/Population!BA18)*1000</f>
        <v>72.352013102849924</v>
      </c>
      <c r="BK18" s="73">
        <f>(AG18/Population!BB18)*1000</f>
        <v>80.299108101692227</v>
      </c>
      <c r="BL18" s="73">
        <f>(AH18/Population!BC18)*1000</f>
        <v>79.090292868121466</v>
      </c>
    </row>
    <row r="19" spans="1:64" ht="14" customHeight="1">
      <c r="A19" s="192" t="s">
        <v>716</v>
      </c>
      <c r="B19" s="3" t="s">
        <v>717</v>
      </c>
      <c r="C19" s="3">
        <v>11</v>
      </c>
      <c r="D19" s="3" t="s">
        <v>541</v>
      </c>
      <c r="E19" s="194">
        <v>9426</v>
      </c>
      <c r="F19" s="194">
        <v>9100</v>
      </c>
      <c r="G19" s="194">
        <v>10280</v>
      </c>
      <c r="H19" s="194">
        <v>11041</v>
      </c>
      <c r="I19" s="194">
        <v>14405</v>
      </c>
      <c r="J19" s="194">
        <v>14483</v>
      </c>
      <c r="K19" s="194">
        <v>14892</v>
      </c>
      <c r="L19" s="194">
        <v>14423</v>
      </c>
      <c r="M19" s="194">
        <v>14184</v>
      </c>
      <c r="N19" s="194">
        <v>14453</v>
      </c>
      <c r="O19" s="194">
        <v>16119</v>
      </c>
      <c r="P19" s="194">
        <v>16192</v>
      </c>
      <c r="Q19" s="194">
        <v>15552</v>
      </c>
      <c r="R19" s="194">
        <v>15648</v>
      </c>
      <c r="S19" s="194">
        <v>16620.400000000001</v>
      </c>
      <c r="T19" s="194">
        <v>17098.400000000001</v>
      </c>
      <c r="U19" s="194">
        <v>17177.466666666667</v>
      </c>
      <c r="V19" s="194">
        <v>17174.400000000001</v>
      </c>
      <c r="W19" s="194">
        <v>17228.433333333334</v>
      </c>
      <c r="X19" s="194">
        <v>17228</v>
      </c>
      <c r="Y19" s="194">
        <v>17228.433333333334</v>
      </c>
      <c r="Z19" s="194">
        <v>17228.433333333334</v>
      </c>
      <c r="AA19" s="195"/>
      <c r="AB19" s="195"/>
      <c r="AC19" s="195"/>
      <c r="AD19" s="195"/>
      <c r="AE19" s="195"/>
      <c r="AF19" s="195"/>
      <c r="AG19" s="195"/>
      <c r="AH19" s="195"/>
      <c r="AI19" s="73">
        <f>(E19/Population!Z19)*1000</f>
        <v>42.388845752539623</v>
      </c>
      <c r="AJ19" s="73">
        <f>(F19/Population!AA19)*1000</f>
        <v>40.075202217929039</v>
      </c>
      <c r="AK19" s="73">
        <f>(G19/Population!AB19)*1000</f>
        <v>44.353099686266539</v>
      </c>
      <c r="AL19" s="73">
        <f>(H19/Population!AC19)*1000</f>
        <v>46.68900882968191</v>
      </c>
      <c r="AM19" s="73">
        <f>(I19/Population!AD19)*1000</f>
        <v>59.726454084163755</v>
      </c>
      <c r="AN19" s="73">
        <f>(J19/Population!AE19)*1000</f>
        <v>58.901236336259323</v>
      </c>
      <c r="AO19" s="73">
        <f>(K19/Population!AF19)*1000</f>
        <v>59.427880942314211</v>
      </c>
      <c r="AP19" s="73">
        <f>(L19/Population!AG19)*1000</f>
        <v>56.49592920252762</v>
      </c>
      <c r="AQ19" s="73">
        <f>(M19/Population!AH19)*1000</f>
        <v>54.554685456699339</v>
      </c>
      <c r="AR19" s="73">
        <f>(N19/Population!AI19)*1000</f>
        <v>54.622050407388365</v>
      </c>
      <c r="AS19" s="73">
        <f>(O19/Population!AJ19)*1000</f>
        <v>59.876480381806815</v>
      </c>
      <c r="AT19" s="73">
        <f>(P19/Population!AK19)*1000</f>
        <v>59.136264313390065</v>
      </c>
      <c r="AU19" s="73">
        <f>(Q19/Population!AL19)*1000</f>
        <v>55.859580966939689</v>
      </c>
      <c r="AV19" s="73">
        <f>(R19/Population!AM19)*1000</f>
        <v>55.290062593523693</v>
      </c>
      <c r="AW19" s="73">
        <f>(S19/Population!AN19)*1000</f>
        <v>57.785847049898386</v>
      </c>
      <c r="AX19" s="73">
        <f>(T19/Population!AO19)*1000</f>
        <v>58.511138859925261</v>
      </c>
      <c r="AY19" s="73">
        <f>(U19/Population!AP19)*1000</f>
        <v>57.869946132810114</v>
      </c>
      <c r="AZ19" s="73">
        <f>(V19/Population!AQ19)*1000</f>
        <v>56.975864280242803</v>
      </c>
      <c r="BA19" s="73">
        <f>(W19/Population!AR19)*1000</f>
        <v>56.29526277323766</v>
      </c>
      <c r="BB19" s="73">
        <f>(X19/Population!AS19)*1000</f>
        <v>55.579134712750587</v>
      </c>
      <c r="BC19" s="73">
        <f>(Y19/Population!AT19)*1000</f>
        <v>54.883721888396416</v>
      </c>
      <c r="BD19" s="73">
        <f>(Z19/Population!AU19)*1000</f>
        <v>54.204168240162012</v>
      </c>
      <c r="BE19" s="73"/>
      <c r="BF19" s="73"/>
      <c r="BG19" s="73"/>
      <c r="BH19" s="73"/>
      <c r="BI19" s="73"/>
      <c r="BJ19" s="73"/>
      <c r="BK19" s="73"/>
      <c r="BL19" s="73"/>
    </row>
    <row r="20" spans="1:64" ht="14" customHeight="1">
      <c r="A20" s="192" t="s">
        <v>718</v>
      </c>
      <c r="B20" s="3" t="s">
        <v>719</v>
      </c>
      <c r="C20" s="3">
        <v>12</v>
      </c>
      <c r="D20" s="3" t="s">
        <v>664</v>
      </c>
      <c r="E20" s="194">
        <v>11674</v>
      </c>
      <c r="F20" s="194">
        <v>13499</v>
      </c>
      <c r="G20" s="194">
        <v>14525</v>
      </c>
      <c r="H20" s="194">
        <v>16783</v>
      </c>
      <c r="I20" s="194">
        <v>18344</v>
      </c>
      <c r="J20" s="194">
        <v>17511</v>
      </c>
      <c r="K20" s="194">
        <v>20430</v>
      </c>
      <c r="L20" s="194">
        <v>20613</v>
      </c>
      <c r="M20" s="194">
        <v>21122</v>
      </c>
      <c r="N20" s="194">
        <v>21178</v>
      </c>
      <c r="O20" s="194">
        <v>21805</v>
      </c>
      <c r="P20" s="194">
        <v>22747.4</v>
      </c>
      <c r="Q20" s="194">
        <v>22031.4</v>
      </c>
      <c r="R20" s="194">
        <v>25989.4</v>
      </c>
      <c r="S20" s="194">
        <v>22522.400000000001</v>
      </c>
      <c r="T20" s="194">
        <v>23253.4</v>
      </c>
      <c r="U20" s="194">
        <v>23581.4</v>
      </c>
      <c r="V20" s="194">
        <v>23258.400000000001</v>
      </c>
      <c r="W20" s="194">
        <v>23140.400000000001</v>
      </c>
      <c r="X20" s="194">
        <v>23438.400000000001</v>
      </c>
      <c r="Y20" s="194">
        <v>23617.4</v>
      </c>
      <c r="Z20" s="194">
        <v>24102.400000000001</v>
      </c>
      <c r="AA20" s="194">
        <v>22695</v>
      </c>
      <c r="AB20" s="194">
        <v>25427</v>
      </c>
      <c r="AC20" s="194">
        <v>27252</v>
      </c>
      <c r="AD20" s="194">
        <v>28152</v>
      </c>
      <c r="AE20" s="194">
        <v>29221</v>
      </c>
      <c r="AF20" s="194">
        <v>29081</v>
      </c>
      <c r="AG20" s="194">
        <v>29520</v>
      </c>
      <c r="AH20" s="194">
        <v>34032</v>
      </c>
      <c r="AI20" s="73">
        <f>(E20/Population!Z20)*1000</f>
        <v>64.989375901578669</v>
      </c>
      <c r="AJ20" s="73">
        <f>(F20/Population!AA20)*1000</f>
        <v>73.059654325381587</v>
      </c>
      <c r="AK20" s="73">
        <f>(G20/Population!AB20)*1000</f>
        <v>76.485905240571995</v>
      </c>
      <c r="AL20" s="73">
        <f>(H20/Population!AC20)*1000</f>
        <v>86.048252340665769</v>
      </c>
      <c r="AM20" s="73">
        <f>(I20/Population!AD20)*1000</f>
        <v>91.637901603953026</v>
      </c>
      <c r="AN20" s="73">
        <f>(J20/Population!AE20)*1000</f>
        <v>85.28777794142745</v>
      </c>
      <c r="AO20" s="73">
        <f>(K20/Population!AF20)*1000</f>
        <v>97.075804038781087</v>
      </c>
      <c r="AP20" s="73">
        <f>(L20/Population!AG20)*1000</f>
        <v>95.611353970041961</v>
      </c>
      <c r="AQ20" s="73">
        <f>(M20/Population!AH20)*1000</f>
        <v>95.6920024101953</v>
      </c>
      <c r="AR20" s="73">
        <f>(N20/Population!AI20)*1000</f>
        <v>92.838812568002751</v>
      </c>
      <c r="AS20" s="73">
        <f>(O20/Population!AJ20)*1000</f>
        <v>92.589211329301676</v>
      </c>
      <c r="AT20" s="73">
        <f>(P20/Population!AK20)*1000</f>
        <v>93.653325340669454</v>
      </c>
      <c r="AU20" s="73">
        <f>(Q20/Population!AL20)*1000</f>
        <v>88.028346283026508</v>
      </c>
      <c r="AV20" s="73">
        <f>(R20/Population!AM20)*1000</f>
        <v>100.86585966941315</v>
      </c>
      <c r="AW20" s="73">
        <f>(S20/Population!AN20)*1000</f>
        <v>84.974219939045426</v>
      </c>
      <c r="AX20" s="73">
        <f>(T20/Population!AO20)*1000</f>
        <v>85.353436359138257</v>
      </c>
      <c r="AY20" s="73">
        <f>(U20/Population!AP20)*1000</f>
        <v>84.272437544537013</v>
      </c>
      <c r="AZ20" s="73">
        <f>(V20/Population!AQ20)*1000</f>
        <v>80.980410862845403</v>
      </c>
      <c r="BA20" s="73">
        <f>(W20/Population!AR20)*1000</f>
        <v>78.549340285203172</v>
      </c>
      <c r="BB20" s="73">
        <f>(X20/Population!AS20)*1000</f>
        <v>77.778688133722639</v>
      </c>
      <c r="BC20" s="73">
        <f>(Y20/Population!AT20)*1000</f>
        <v>76.655561854784565</v>
      </c>
      <c r="BD20" s="73">
        <f>(Z20/Population!AU20)*1000</f>
        <v>76.552495172273609</v>
      </c>
      <c r="BE20" s="73">
        <f>(AA20/Population!AV20)*1000</f>
        <v>70.569396302524325</v>
      </c>
      <c r="BF20" s="73">
        <f>(AB20/Population!AW20)*1000</f>
        <v>77.43902236607201</v>
      </c>
      <c r="BG20" s="73">
        <f>(AC20/Population!AX20)*1000</f>
        <v>81.325220308028364</v>
      </c>
      <c r="BH20" s="73">
        <f>(AD20/Population!AY20)*1000</f>
        <v>82.352070135693978</v>
      </c>
      <c r="BI20" s="73">
        <f>(AE20/Population!AZ20)*1000</f>
        <v>83.823946247568173</v>
      </c>
      <c r="BJ20" s="73">
        <f>(AF20/Population!BA20)*1000</f>
        <v>81.837624876881961</v>
      </c>
      <c r="BK20" s="73">
        <f>(AG20/Population!BB20)*1000</f>
        <v>81.434033467401562</v>
      </c>
      <c r="BL20" s="73">
        <f>(AH20/Population!BC20)*1000</f>
        <v>92.046293616641464</v>
      </c>
    </row>
    <row r="21" spans="1:64" ht="14" customHeight="1">
      <c r="A21" s="192" t="s">
        <v>711</v>
      </c>
      <c r="B21" s="3" t="s">
        <v>712</v>
      </c>
      <c r="C21" s="3">
        <v>13</v>
      </c>
      <c r="D21" s="3" t="s">
        <v>713</v>
      </c>
      <c r="E21" s="194">
        <v>33551</v>
      </c>
      <c r="F21" s="194">
        <v>34131</v>
      </c>
      <c r="G21" s="194">
        <v>34575</v>
      </c>
      <c r="H21" s="194">
        <v>35881</v>
      </c>
      <c r="I21" s="194">
        <v>38098</v>
      </c>
      <c r="J21" s="194">
        <v>39668</v>
      </c>
      <c r="K21" s="194">
        <v>40747</v>
      </c>
      <c r="L21" s="194">
        <v>42020</v>
      </c>
      <c r="M21" s="194">
        <v>41674</v>
      </c>
      <c r="N21" s="194">
        <v>41645</v>
      </c>
      <c r="O21" s="194">
        <v>46132</v>
      </c>
      <c r="P21" s="194">
        <v>47180</v>
      </c>
      <c r="Q21" s="194">
        <v>47748</v>
      </c>
      <c r="R21" s="194">
        <v>45903</v>
      </c>
      <c r="S21" s="194">
        <v>54829.966666666667</v>
      </c>
      <c r="T21" s="194">
        <v>54044.266666666663</v>
      </c>
      <c r="U21" s="194">
        <v>60347.366666666669</v>
      </c>
      <c r="V21" s="194">
        <v>63257.433333333334</v>
      </c>
      <c r="W21" s="194">
        <v>61205.3</v>
      </c>
      <c r="X21" s="194">
        <v>61759</v>
      </c>
      <c r="Y21" s="194">
        <v>61280.533333333333</v>
      </c>
      <c r="Z21" s="194">
        <v>64680.333333333336</v>
      </c>
      <c r="AA21" s="194">
        <v>64045</v>
      </c>
      <c r="AB21" s="194">
        <v>67618</v>
      </c>
      <c r="AC21" s="194">
        <v>72118</v>
      </c>
      <c r="AD21" s="194">
        <v>74505</v>
      </c>
      <c r="AE21" s="194">
        <v>76698</v>
      </c>
      <c r="AF21" s="194">
        <v>79644</v>
      </c>
      <c r="AG21" s="194">
        <v>86660</v>
      </c>
      <c r="AH21" s="194"/>
      <c r="AI21" s="73">
        <f>(E21/Population!Z21)*1000</f>
        <v>26.729474944393591</v>
      </c>
      <c r="AJ21" s="73">
        <f>(F21/Population!AA21)*1000</f>
        <v>26.772235973128147</v>
      </c>
      <c r="AK21" s="73">
        <f>(G21/Population!AB21)*1000</f>
        <v>26.708642430025286</v>
      </c>
      <c r="AL21" s="73">
        <f>(H21/Population!AC21)*1000</f>
        <v>27.302869719480725</v>
      </c>
      <c r="AM21" s="73">
        <f>(I21/Population!AD21)*1000</f>
        <v>28.56257124617693</v>
      </c>
      <c r="AN21" s="73">
        <f>(J21/Population!AE21)*1000</f>
        <v>29.307657929657928</v>
      </c>
      <c r="AO21" s="73">
        <f>(K21/Population!AF21)*1000</f>
        <v>29.673841176676639</v>
      </c>
      <c r="AP21" s="73">
        <f>(L21/Population!AG21)*1000</f>
        <v>30.168974978561504</v>
      </c>
      <c r="AQ21" s="73">
        <f>(M21/Population!AH21)*1000</f>
        <v>29.504113683653092</v>
      </c>
      <c r="AR21" s="73">
        <f>(N21/Population!AI21)*1000</f>
        <v>29.085049097476503</v>
      </c>
      <c r="AS21" s="73">
        <f>(O21/Population!AJ21)*1000</f>
        <v>31.789092204078642</v>
      </c>
      <c r="AT21" s="73">
        <f>(P21/Population!AK21)*1000</f>
        <v>32.083367249355838</v>
      </c>
      <c r="AU21" s="73">
        <f>(Q21/Population!AL21)*1000</f>
        <v>32.047827160271758</v>
      </c>
      <c r="AV21" s="73">
        <f>(R21/Population!AM21)*1000</f>
        <v>30.414393880414313</v>
      </c>
      <c r="AW21" s="73">
        <f>(S21/Population!AN21)*1000</f>
        <v>35.869241630134489</v>
      </c>
      <c r="AX21" s="73">
        <f>(T21/Population!AO21)*1000</f>
        <v>34.913194308737253</v>
      </c>
      <c r="AY21" s="73">
        <f>(U21/Population!AP21)*1000</f>
        <v>38.503651955864576</v>
      </c>
      <c r="AZ21" s="73">
        <f>(V21/Population!AQ21)*1000</f>
        <v>39.868054033762249</v>
      </c>
      <c r="BA21" s="73">
        <f>(W21/Population!AR21)*1000</f>
        <v>38.1098289938382</v>
      </c>
      <c r="BB21" s="73">
        <f>(X21/Population!AS21)*1000</f>
        <v>38.034465720728768</v>
      </c>
      <c r="BC21" s="73">
        <f>(Y21/Population!AT21)*1000</f>
        <v>37.3319381901876</v>
      </c>
      <c r="BD21" s="73">
        <f>(Z21/Population!AU21)*1000</f>
        <v>38.981802338168848</v>
      </c>
      <c r="BE21" s="73">
        <f>(AA21/Population!AV21)*1000</f>
        <v>38.190575893252202</v>
      </c>
      <c r="BF21" s="73">
        <f>(AB21/Population!AW21)*1000</f>
        <v>39.899108091072726</v>
      </c>
      <c r="BG21" s="73">
        <f>(AC21/Population!AX21)*1000</f>
        <v>42.113568822761714</v>
      </c>
      <c r="BH21" s="73">
        <f>(AD21/Population!AY21)*1000</f>
        <v>43.061376317994259</v>
      </c>
      <c r="BI21" s="73">
        <f>(AE21/Population!AZ21)*1000</f>
        <v>43.878957511761385</v>
      </c>
      <c r="BJ21" s="73">
        <f>(AF21/Population!BA21)*1000</f>
        <v>45.106573369542133</v>
      </c>
      <c r="BK21" s="73">
        <f>(AG21/Population!BB21)*1000</f>
        <v>48.594183613790072</v>
      </c>
      <c r="BL21" s="73"/>
    </row>
    <row r="22" spans="1:64" ht="14" customHeight="1">
      <c r="A22" s="192" t="s">
        <v>714</v>
      </c>
      <c r="B22" s="3" t="s">
        <v>530</v>
      </c>
      <c r="C22" s="3">
        <v>14</v>
      </c>
      <c r="D22" s="3" t="s">
        <v>641</v>
      </c>
      <c r="E22" s="194">
        <v>20947</v>
      </c>
      <c r="F22" s="194">
        <v>22060</v>
      </c>
      <c r="G22" s="194">
        <v>22559</v>
      </c>
      <c r="H22" s="194">
        <v>24179</v>
      </c>
      <c r="I22" s="194">
        <v>25809</v>
      </c>
      <c r="J22" s="194">
        <v>29009</v>
      </c>
      <c r="K22" s="194">
        <v>29407</v>
      </c>
      <c r="L22" s="194">
        <v>32973</v>
      </c>
      <c r="M22" s="194">
        <v>32763</v>
      </c>
      <c r="N22" s="194">
        <v>32950</v>
      </c>
      <c r="O22" s="194">
        <v>32437</v>
      </c>
      <c r="P22" s="194">
        <v>33886</v>
      </c>
      <c r="Q22" s="194">
        <v>32609</v>
      </c>
      <c r="R22" s="194">
        <v>32231.066666666666</v>
      </c>
      <c r="S22" s="194">
        <v>33733.066666666666</v>
      </c>
      <c r="T22" s="194">
        <v>35577.066666666666</v>
      </c>
      <c r="U22" s="194">
        <v>35849.066666666666</v>
      </c>
      <c r="V22" s="194">
        <v>35511.066666666666</v>
      </c>
      <c r="W22" s="194">
        <v>34558.066666666666</v>
      </c>
      <c r="X22" s="194">
        <v>34432</v>
      </c>
      <c r="Y22" s="194">
        <v>36062</v>
      </c>
      <c r="Z22" s="194">
        <v>37336</v>
      </c>
      <c r="AA22" s="194">
        <v>40045</v>
      </c>
      <c r="AB22" s="194">
        <v>41989</v>
      </c>
      <c r="AC22" s="194">
        <v>44980</v>
      </c>
      <c r="AD22" s="194">
        <v>50853</v>
      </c>
      <c r="AE22" s="194">
        <v>48709</v>
      </c>
      <c r="AF22" s="194">
        <v>50494</v>
      </c>
      <c r="AG22" s="194">
        <v>54075</v>
      </c>
      <c r="AH22" s="194">
        <v>53876</v>
      </c>
      <c r="AI22" s="73">
        <f>(E22/Population!Z22)*1000</f>
        <v>32.551389805418147</v>
      </c>
      <c r="AJ22" s="73">
        <f>(F22/Population!AA22)*1000</f>
        <v>33.339291384091872</v>
      </c>
      <c r="AK22" s="73">
        <f>(G22/Population!AB22)*1000</f>
        <v>33.181933560205245</v>
      </c>
      <c r="AL22" s="73">
        <f>(H22/Population!AC22)*1000</f>
        <v>34.638709407444559</v>
      </c>
      <c r="AM22" s="73">
        <f>(I22/Population!AD22)*1000</f>
        <v>36.035506723465446</v>
      </c>
      <c r="AN22" s="73">
        <f>(J22/Population!AE22)*1000</f>
        <v>39.50100114183752</v>
      </c>
      <c r="AO22" s="73">
        <f>(K22/Population!AF22)*1000</f>
        <v>39.075816997771774</v>
      </c>
      <c r="AP22" s="73">
        <f>(L22/Population!AG22)*1000</f>
        <v>42.781029246716813</v>
      </c>
      <c r="AQ22" s="73">
        <f>(M22/Population!AH22)*1000</f>
        <v>41.529188822623475</v>
      </c>
      <c r="AR22" s="73">
        <f>(N22/Population!AI22)*1000</f>
        <v>40.837962771890041</v>
      </c>
      <c r="AS22" s="73">
        <f>(O22/Population!AJ22)*1000</f>
        <v>39.328082314354042</v>
      </c>
      <c r="AT22" s="73">
        <f>(P22/Population!AK22)*1000</f>
        <v>40.210657995929573</v>
      </c>
      <c r="AU22" s="73">
        <f>(Q22/Population!AL22)*1000</f>
        <v>37.889060310869468</v>
      </c>
      <c r="AV22" s="73">
        <f>(R22/Population!AM22)*1000</f>
        <v>36.685555175521614</v>
      </c>
      <c r="AW22" s="73">
        <f>(S22/Population!AN22)*1000</f>
        <v>37.627145061673303</v>
      </c>
      <c r="AX22" s="73">
        <f>(T22/Population!AO22)*1000</f>
        <v>38.905804503610639</v>
      </c>
      <c r="AY22" s="73">
        <f>(U22/Population!AP22)*1000</f>
        <v>38.449259348954683</v>
      </c>
      <c r="AZ22" s="73">
        <f>(V22/Population!AQ22)*1000</f>
        <v>37.368045531734332</v>
      </c>
      <c r="BA22" s="73">
        <f>(W22/Population!AR22)*1000</f>
        <v>35.691706653391691</v>
      </c>
      <c r="BB22" s="73">
        <f>(X22/Population!AS22)*1000</f>
        <v>34.986548336697609</v>
      </c>
      <c r="BC22" s="73">
        <f>(Y22/Population!AT22)*1000</f>
        <v>36.059789534901505</v>
      </c>
      <c r="BD22" s="73">
        <f>(Z22/Population!AU22)*1000</f>
        <v>36.749008093719027</v>
      </c>
      <c r="BE22" s="73">
        <f>(AA22/Population!AV22)*1000</f>
        <v>38.807630348623249</v>
      </c>
      <c r="BF22" s="73">
        <f>(AB22/Population!AW22)*1000</f>
        <v>40.073628815066435</v>
      </c>
      <c r="BG22" s="73">
        <f>(AC22/Population!AX22)*1000</f>
        <v>42.286040905962913</v>
      </c>
      <c r="BH22" s="73">
        <f>(AD22/Population!AY22)*1000</f>
        <v>47.10269736648933</v>
      </c>
      <c r="BI22" s="73">
        <f>(AE22/Population!AZ22)*1000</f>
        <v>44.461532043858533</v>
      </c>
      <c r="BJ22" s="73">
        <f>(AF22/Population!BA22)*1000</f>
        <v>45.431029751413256</v>
      </c>
      <c r="BK22" s="73">
        <f>(AG22/Population!BB22)*1000</f>
        <v>47.921241671939555</v>
      </c>
      <c r="BL22" s="73">
        <f>(AH22/Population!BC22)*1000</f>
        <v>47.028631284916202</v>
      </c>
    </row>
    <row r="23" spans="1:64" ht="14" customHeight="1">
      <c r="A23" s="192" t="s">
        <v>620</v>
      </c>
      <c r="B23" s="3" t="s">
        <v>621</v>
      </c>
      <c r="C23" s="3">
        <v>15</v>
      </c>
      <c r="D23" s="3" t="s">
        <v>541</v>
      </c>
      <c r="E23" s="194">
        <v>14017</v>
      </c>
      <c r="F23" s="194">
        <v>15075</v>
      </c>
      <c r="G23" s="194">
        <v>16346</v>
      </c>
      <c r="H23" s="194">
        <v>17555</v>
      </c>
      <c r="I23" s="194">
        <v>22842</v>
      </c>
      <c r="J23" s="194">
        <v>24492</v>
      </c>
      <c r="K23" s="194">
        <v>25994</v>
      </c>
      <c r="L23" s="194">
        <v>26708</v>
      </c>
      <c r="M23" s="194">
        <v>28101</v>
      </c>
      <c r="N23" s="194">
        <v>27108</v>
      </c>
      <c r="O23" s="194">
        <v>30449</v>
      </c>
      <c r="P23" s="194">
        <v>29846</v>
      </c>
      <c r="Q23" s="194">
        <v>32340</v>
      </c>
      <c r="R23" s="194">
        <v>32755</v>
      </c>
      <c r="S23" s="194">
        <v>33753</v>
      </c>
      <c r="T23" s="194">
        <v>34549</v>
      </c>
      <c r="U23" s="194">
        <v>36177.26666666667</v>
      </c>
      <c r="V23" s="194">
        <v>36543.26666666667</v>
      </c>
      <c r="W23" s="194">
        <v>36909</v>
      </c>
      <c r="X23" s="194">
        <v>36909</v>
      </c>
      <c r="Y23" s="194">
        <v>36909</v>
      </c>
      <c r="Z23" s="194">
        <v>36909</v>
      </c>
      <c r="AA23" s="194">
        <v>40914</v>
      </c>
      <c r="AB23" s="194">
        <v>45410</v>
      </c>
      <c r="AC23" s="194">
        <v>49347</v>
      </c>
      <c r="AD23" s="194">
        <v>53092</v>
      </c>
      <c r="AE23" s="194">
        <v>54118</v>
      </c>
      <c r="AF23" s="194">
        <v>53806</v>
      </c>
      <c r="AG23" s="194">
        <v>53587</v>
      </c>
      <c r="AH23" s="194">
        <v>56309</v>
      </c>
      <c r="AI23" s="73">
        <f>(E23/Population!Z23)*1000</f>
        <v>49.461729211976589</v>
      </c>
      <c r="AJ23" s="73">
        <f>(F23/Population!AA23)*1000</f>
        <v>50.830982885081617</v>
      </c>
      <c r="AK23" s="73">
        <f>(G23/Population!AB23)*1000</f>
        <v>52.771358292018476</v>
      </c>
      <c r="AL23" s="73">
        <f>(H23/Population!AC23)*1000</f>
        <v>54.361350284537004</v>
      </c>
      <c r="AM23" s="73">
        <f>(I23/Population!AD23)*1000</f>
        <v>67.959507891285384</v>
      </c>
      <c r="AN23" s="73">
        <f>(J23/Population!AE23)*1000</f>
        <v>70.118947409587022</v>
      </c>
      <c r="AO23" s="73">
        <f>(K23/Population!AF23)*1000</f>
        <v>71.713036397662776</v>
      </c>
      <c r="AP23" s="73">
        <f>(L23/Population!AG23)*1000</f>
        <v>71.097579937725996</v>
      </c>
      <c r="AQ23" s="73">
        <f>(M23/Population!AH23)*1000</f>
        <v>72.270100531590671</v>
      </c>
      <c r="AR23" s="73">
        <f>(N23/Population!AI23)*1000</f>
        <v>68.003319388823044</v>
      </c>
      <c r="AS23" s="73">
        <f>(O23/Population!AJ23)*1000</f>
        <v>74.552754478086641</v>
      </c>
      <c r="AT23" s="73">
        <f>(P23/Population!AK23)*1000</f>
        <v>71.364899736213374</v>
      </c>
      <c r="AU23" s="73">
        <f>(Q23/Population!AL23)*1000</f>
        <v>75.558735117802939</v>
      </c>
      <c r="AV23" s="73">
        <f>(R23/Population!AM23)*1000</f>
        <v>74.816242810742665</v>
      </c>
      <c r="AW23" s="73">
        <f>(S23/Population!AN23)*1000</f>
        <v>75.408746100876542</v>
      </c>
      <c r="AX23" s="73">
        <f>(T23/Population!AO23)*1000</f>
        <v>75.534242598085854</v>
      </c>
      <c r="AY23" s="73">
        <f>(U23/Population!AP23)*1000</f>
        <v>77.435908632137668</v>
      </c>
      <c r="AZ23" s="73">
        <f>(V23/Population!AQ23)*1000</f>
        <v>76.613127529258122</v>
      </c>
      <c r="BA23" s="73">
        <f>(W23/Population!AR23)*1000</f>
        <v>75.822909369549635</v>
      </c>
      <c r="BB23" s="73">
        <f>(X23/Population!AS23)*1000</f>
        <v>74.488830015577705</v>
      </c>
      <c r="BC23" s="73">
        <f>(Y23/Population!AT23)*1000</f>
        <v>73.200884336652905</v>
      </c>
      <c r="BD23" s="73">
        <f>(Z23/Population!AU23)*1000</f>
        <v>71.95671998932103</v>
      </c>
      <c r="BE23" s="73">
        <f>(AA23/Population!AV23)*1000</f>
        <v>78.431682274278785</v>
      </c>
      <c r="BF23" s="73">
        <f>(AB23/Population!AW23)*1000</f>
        <v>85.619544228744942</v>
      </c>
      <c r="BG23" s="73">
        <f>(AC23/Population!AX23)*1000</f>
        <v>91.537986761967673</v>
      </c>
      <c r="BH23" s="73">
        <f>(AD23/Population!AY23)*1000</f>
        <v>96.917560818726656</v>
      </c>
      <c r="BI23" s="73">
        <f>(AE23/Population!AZ23)*1000</f>
        <v>97.242905421364753</v>
      </c>
      <c r="BJ23" s="73">
        <f>(AF23/Population!BA23)*1000</f>
        <v>95.19108629578129</v>
      </c>
      <c r="BK23" s="73">
        <f>(AG23/Population!BB23)*1000</f>
        <v>93.370806877661536</v>
      </c>
      <c r="BL23" s="73">
        <f>(AH23/Population!BC23)*1000</f>
        <v>96.657854984894271</v>
      </c>
    </row>
    <row r="24" spans="1:64" ht="14" customHeight="1">
      <c r="A24" s="192" t="s">
        <v>622</v>
      </c>
      <c r="B24" s="3" t="s">
        <v>925</v>
      </c>
      <c r="C24" s="3">
        <v>16</v>
      </c>
      <c r="D24" s="3" t="s">
        <v>541</v>
      </c>
      <c r="E24" s="194">
        <v>18242</v>
      </c>
      <c r="F24" s="194">
        <v>18712</v>
      </c>
      <c r="G24" s="194">
        <v>20587</v>
      </c>
      <c r="H24" s="194">
        <v>21959</v>
      </c>
      <c r="I24" s="194">
        <v>23691</v>
      </c>
      <c r="J24" s="194">
        <v>25256</v>
      </c>
      <c r="K24" s="194">
        <v>27402</v>
      </c>
      <c r="L24" s="194">
        <v>28031</v>
      </c>
      <c r="M24" s="194">
        <v>29213</v>
      </c>
      <c r="N24" s="194">
        <v>29061</v>
      </c>
      <c r="O24" s="194">
        <v>29797.533333333333</v>
      </c>
      <c r="P24" s="194">
        <v>30540.533333333333</v>
      </c>
      <c r="Q24" s="194">
        <v>30352.533333333333</v>
      </c>
      <c r="R24" s="194">
        <v>31451</v>
      </c>
      <c r="S24" s="194">
        <v>30759.533333333333</v>
      </c>
      <c r="T24" s="194">
        <v>28430.333333333332</v>
      </c>
      <c r="U24" s="194">
        <v>28547.599999999999</v>
      </c>
      <c r="V24" s="194">
        <v>29295</v>
      </c>
      <c r="W24" s="194">
        <v>30054</v>
      </c>
      <c r="X24" s="194">
        <v>30053</v>
      </c>
      <c r="Y24" s="194">
        <v>33298</v>
      </c>
      <c r="Z24" s="194">
        <v>35413</v>
      </c>
      <c r="AA24" s="194">
        <v>36740</v>
      </c>
      <c r="AB24" s="194">
        <v>38364</v>
      </c>
      <c r="AC24" s="194">
        <v>39627</v>
      </c>
      <c r="AD24" s="194">
        <v>40948</v>
      </c>
      <c r="AE24" s="194">
        <v>41423</v>
      </c>
      <c r="AF24" s="194">
        <v>43687</v>
      </c>
      <c r="AG24" s="194">
        <v>48142</v>
      </c>
      <c r="AH24" s="194">
        <v>51018</v>
      </c>
      <c r="AI24" s="73">
        <f>(E24/Population!Z24)*1000</f>
        <v>43.744392417079112</v>
      </c>
      <c r="AJ24" s="73">
        <f>(F24/Population!AA24)*1000</f>
        <v>43.695810930337103</v>
      </c>
      <c r="AK24" s="73">
        <f>(G24/Population!AB24)*1000</f>
        <v>46.846865953314833</v>
      </c>
      <c r="AL24" s="73">
        <f>(H24/Population!AC24)*1000</f>
        <v>48.724916702892124</v>
      </c>
      <c r="AM24" s="73">
        <f>(I24/Population!AD24)*1000</f>
        <v>51.291129869049897</v>
      </c>
      <c r="AN24" s="73">
        <f>(J24/Population!AE24)*1000</f>
        <v>53.382646475981247</v>
      </c>
      <c r="AO24" s="73">
        <f>(K24/Population!AF24)*1000</f>
        <v>56.576851482729758</v>
      </c>
      <c r="AP24" s="73">
        <f>(L24/Population!AG24)*1000</f>
        <v>56.56518350903027</v>
      </c>
      <c r="AQ24" s="73">
        <f>(M24/Population!AH24)*1000</f>
        <v>57.645252697465523</v>
      </c>
      <c r="AR24" s="73">
        <f>(N24/Population!AI24)*1000</f>
        <v>56.601215890955451</v>
      </c>
      <c r="AS24" s="73">
        <f>(O24/Population!AJ24)*1000</f>
        <v>57.292327601831765</v>
      </c>
      <c r="AT24" s="73">
        <f>(P24/Population!AK24)*1000</f>
        <v>57.978233926002027</v>
      </c>
      <c r="AU24" s="73">
        <f>(Q24/Population!AL24)*1000</f>
        <v>56.901668126427261</v>
      </c>
      <c r="AV24" s="73">
        <f>(R24/Population!AM24)*1000</f>
        <v>58.233641866157605</v>
      </c>
      <c r="AW24" s="73">
        <f>(S24/Population!AN24)*1000</f>
        <v>56.259356887510556</v>
      </c>
      <c r="AX24" s="73">
        <f>(T24/Population!AO24)*1000</f>
        <v>51.37324389470276</v>
      </c>
      <c r="AY24" s="73">
        <f>(U24/Population!AP24)*1000</f>
        <v>50.971522110823372</v>
      </c>
      <c r="AZ24" s="73">
        <f>(V24/Population!AQ24)*1000</f>
        <v>51.691117385684024</v>
      </c>
      <c r="BA24" s="73">
        <f>(W24/Population!AR24)*1000</f>
        <v>52.414221285887194</v>
      </c>
      <c r="BB24" s="73">
        <f>(X24/Population!AS24)*1000</f>
        <v>52.105862787732839</v>
      </c>
      <c r="BC24" s="73">
        <f>(Y24/Population!AT24)*1000</f>
        <v>57.396270866133484</v>
      </c>
      <c r="BD24" s="73">
        <f>(Z24/Population!AU24)*1000</f>
        <v>60.688961352632589</v>
      </c>
      <c r="BE24" s="73">
        <f>(AA24/Population!AV24)*1000</f>
        <v>62.601121940238116</v>
      </c>
      <c r="BF24" s="73">
        <f>(AB24/Population!AW24)*1000</f>
        <v>64.994584801093254</v>
      </c>
      <c r="BG24" s="73">
        <f>(AC24/Population!AX24)*1000</f>
        <v>66.752726873402622</v>
      </c>
      <c r="BH24" s="73">
        <f>(AD24/Population!AY24)*1000</f>
        <v>68.588146471504345</v>
      </c>
      <c r="BI24" s="73">
        <f>(AE24/Population!AZ24)*1000</f>
        <v>68.993844952210722</v>
      </c>
      <c r="BJ24" s="73">
        <f>(AF24/Population!BA24)*1000</f>
        <v>72.358101964187824</v>
      </c>
      <c r="BK24" s="73">
        <f>(AG24/Population!BB24)*1000</f>
        <v>79.349800397556635</v>
      </c>
      <c r="BL24" s="73">
        <f>(AH24/Population!BC24)*1000</f>
        <v>83.697397929302298</v>
      </c>
    </row>
    <row r="25" spans="1:64" ht="14" customHeight="1">
      <c r="A25" s="192" t="s">
        <v>926</v>
      </c>
      <c r="B25" s="3" t="s">
        <v>927</v>
      </c>
      <c r="C25" s="3">
        <v>17</v>
      </c>
      <c r="D25" s="3" t="s">
        <v>664</v>
      </c>
      <c r="E25" s="194">
        <v>26203</v>
      </c>
      <c r="F25" s="194">
        <v>27133</v>
      </c>
      <c r="G25" s="194">
        <v>29174</v>
      </c>
      <c r="H25" s="194">
        <v>33522</v>
      </c>
      <c r="I25" s="194">
        <v>40860</v>
      </c>
      <c r="J25" s="194">
        <v>44273</v>
      </c>
      <c r="K25" s="194">
        <v>45899</v>
      </c>
      <c r="L25" s="194">
        <v>48479</v>
      </c>
      <c r="M25" s="194">
        <v>42940</v>
      </c>
      <c r="N25" s="194">
        <v>42797</v>
      </c>
      <c r="O25" s="194">
        <v>41567</v>
      </c>
      <c r="P25" s="194">
        <v>41680</v>
      </c>
      <c r="Q25" s="194">
        <v>40721</v>
      </c>
      <c r="R25" s="194">
        <v>38916</v>
      </c>
      <c r="S25" s="194">
        <v>39239.933333333334</v>
      </c>
      <c r="T25" s="194">
        <v>38093.866666666669</v>
      </c>
      <c r="U25" s="194">
        <v>36237.866666666669</v>
      </c>
      <c r="V25" s="194">
        <v>37563.866666666669</v>
      </c>
      <c r="W25" s="194">
        <v>38632.866666666669</v>
      </c>
      <c r="X25" s="194">
        <v>38632.866666666669</v>
      </c>
      <c r="Y25" s="194">
        <v>38632.866666666669</v>
      </c>
      <c r="Z25" s="194">
        <v>40896.866666666669</v>
      </c>
      <c r="AA25" s="194">
        <v>41043</v>
      </c>
      <c r="AB25" s="194">
        <v>46453</v>
      </c>
      <c r="AC25" s="194">
        <v>48492</v>
      </c>
      <c r="AD25" s="194">
        <v>51757</v>
      </c>
      <c r="AE25" s="194">
        <v>56367</v>
      </c>
      <c r="AF25" s="194">
        <v>57171</v>
      </c>
      <c r="AG25" s="194">
        <v>58190</v>
      </c>
      <c r="AH25" s="194"/>
      <c r="AI25" s="73">
        <f>(E25/Population!Z25)*1000</f>
        <v>36.47863747896767</v>
      </c>
      <c r="AJ25" s="73">
        <f>(F25/Population!AA25)*1000</f>
        <v>36.825906784513371</v>
      </c>
      <c r="AK25" s="73">
        <f>(G25/Population!AB25)*1000</f>
        <v>38.627176330372173</v>
      </c>
      <c r="AL25" s="73">
        <f>(H25/Population!AC25)*1000</f>
        <v>43.32397925515221</v>
      </c>
      <c r="AM25" s="73">
        <f>(I25/Population!AD25)*1000</f>
        <v>51.575806887152524</v>
      </c>
      <c r="AN25" s="73">
        <f>(J25/Population!AE25)*1000</f>
        <v>54.610009683091221</v>
      </c>
      <c r="AO25" s="73">
        <f>(K25/Population!AF25)*1000</f>
        <v>55.353856634849969</v>
      </c>
      <c r="AP25" s="73">
        <f>(L25/Population!AG25)*1000</f>
        <v>57.190703775500722</v>
      </c>
      <c r="AQ25" s="73">
        <f>(M25/Population!AH25)*1000</f>
        <v>49.575536885515611</v>
      </c>
      <c r="AR25" s="73">
        <f>(N25/Population!AI25)*1000</f>
        <v>48.198022165887153</v>
      </c>
      <c r="AS25" s="73">
        <f>(O25/Population!AJ25)*1000</f>
        <v>45.69162904557291</v>
      </c>
      <c r="AT25" s="73">
        <f>(P25/Population!AK25)*1000</f>
        <v>44.744218301974094</v>
      </c>
      <c r="AU25" s="73">
        <f>(Q25/Population!AL25)*1000</f>
        <v>42.715605184070156</v>
      </c>
      <c r="AV25" s="73">
        <f>(R25/Population!AM25)*1000</f>
        <v>39.910039350092759</v>
      </c>
      <c r="AW25" s="73">
        <f>(S25/Population!AN25)*1000</f>
        <v>39.362705612137589</v>
      </c>
      <c r="AX25" s="73">
        <f>(T25/Population!AO25)*1000</f>
        <v>37.395725860575581</v>
      </c>
      <c r="AY25" s="73">
        <f>(U25/Population!AP25)*1000</f>
        <v>34.828797986525792</v>
      </c>
      <c r="AZ25" s="73">
        <f>(V25/Population!AQ25)*1000</f>
        <v>35.362714502460989</v>
      </c>
      <c r="BA25" s="73">
        <f>(W25/Population!AR25)*1000</f>
        <v>35.638090968325379</v>
      </c>
      <c r="BB25" s="73">
        <f>(X25/Population!AS25)*1000</f>
        <v>34.980953108778863</v>
      </c>
      <c r="BC25" s="73">
        <f>(Y25/Population!AT25)*1000</f>
        <v>34.347610672509454</v>
      </c>
      <c r="BD25" s="73">
        <f>(Z25/Population!AU25)*1000</f>
        <v>35.713866754249487</v>
      </c>
      <c r="BE25" s="73">
        <f>(AA25/Population!AV25)*1000</f>
        <v>35.215234383412508</v>
      </c>
      <c r="BF25" s="73">
        <f>(AB25/Population!AW25)*1000</f>
        <v>39.172609851414265</v>
      </c>
      <c r="BG25" s="73">
        <f>(AC25/Population!AX25)*1000</f>
        <v>40.201678253430572</v>
      </c>
      <c r="BH25" s="73">
        <f>(AD25/Population!AY25)*1000</f>
        <v>42.196098330434495</v>
      </c>
      <c r="BI25" s="73">
        <f>(AE25/Population!AZ25)*1000</f>
        <v>45.204013515251816</v>
      </c>
      <c r="BJ25" s="73">
        <f>(AF25/Population!BA25)*1000</f>
        <v>45.112052211335659</v>
      </c>
      <c r="BK25" s="73">
        <f>(AG25/Population!BB25)*1000</f>
        <v>45.133998101254043</v>
      </c>
      <c r="BL25" s="73"/>
    </row>
    <row r="26" spans="1:64" ht="14" customHeight="1">
      <c r="A26" s="192" t="s">
        <v>928</v>
      </c>
      <c r="B26" s="3" t="s">
        <v>929</v>
      </c>
      <c r="C26" s="3">
        <v>18</v>
      </c>
      <c r="D26" s="3" t="s">
        <v>713</v>
      </c>
      <c r="E26" s="194">
        <v>17773</v>
      </c>
      <c r="F26" s="194">
        <v>19068</v>
      </c>
      <c r="G26" s="194">
        <v>19186</v>
      </c>
      <c r="H26" s="194">
        <v>20617</v>
      </c>
      <c r="I26" s="194">
        <v>18836</v>
      </c>
      <c r="J26" s="194">
        <v>19459</v>
      </c>
      <c r="K26" s="194">
        <v>20837</v>
      </c>
      <c r="L26" s="194">
        <v>23087</v>
      </c>
      <c r="M26" s="194">
        <v>23418</v>
      </c>
      <c r="N26" s="194">
        <v>28925</v>
      </c>
      <c r="O26" s="194">
        <v>34173</v>
      </c>
      <c r="P26" s="194">
        <v>33331</v>
      </c>
      <c r="Q26" s="194">
        <v>29569</v>
      </c>
      <c r="R26" s="194">
        <v>28851</v>
      </c>
      <c r="S26" s="194">
        <v>28393</v>
      </c>
      <c r="T26" s="194">
        <v>27866</v>
      </c>
      <c r="U26" s="194">
        <v>29161.166666666668</v>
      </c>
      <c r="V26" s="194">
        <v>28452.5</v>
      </c>
      <c r="W26" s="194">
        <v>27568.9</v>
      </c>
      <c r="X26" s="194">
        <v>27568.9</v>
      </c>
      <c r="Y26" s="194">
        <v>27391.933333333334</v>
      </c>
      <c r="Z26" s="194">
        <v>27391.933333333334</v>
      </c>
      <c r="AA26" s="194">
        <v>29655</v>
      </c>
      <c r="AB26" s="194">
        <v>30446</v>
      </c>
      <c r="AC26" s="194">
        <v>29876</v>
      </c>
      <c r="AD26" s="194">
        <v>29252</v>
      </c>
      <c r="AE26" s="194">
        <v>30376</v>
      </c>
      <c r="AF26" s="194">
        <v>31243</v>
      </c>
      <c r="AG26" s="194">
        <v>31594</v>
      </c>
      <c r="AH26" s="194"/>
      <c r="AI26" s="73">
        <f>(E26/Population!Z26)*1000</f>
        <v>36.79050201015702</v>
      </c>
      <c r="AJ26" s="73">
        <f>(F26/Population!AA26)*1000</f>
        <v>39.010603690933401</v>
      </c>
      <c r="AK26" s="73">
        <f>(G26/Population!AB26)*1000</f>
        <v>38.79927860763776</v>
      </c>
      <c r="AL26" s="73">
        <f>(H26/Population!AC26)*1000</f>
        <v>41.217737953667758</v>
      </c>
      <c r="AM26" s="73">
        <f>(I26/Population!AD26)*1000</f>
        <v>37.232594325504351</v>
      </c>
      <c r="AN26" s="73">
        <f>(J26/Population!AE26)*1000</f>
        <v>38.035250520538959</v>
      </c>
      <c r="AO26" s="73">
        <f>(K26/Population!AF26)*1000</f>
        <v>40.279685651820017</v>
      </c>
      <c r="AP26" s="73">
        <f>(L26/Population!AG26)*1000</f>
        <v>44.142437034600292</v>
      </c>
      <c r="AQ26" s="73">
        <f>(M26/Population!AH26)*1000</f>
        <v>44.292293579716862</v>
      </c>
      <c r="AR26" s="73">
        <f>(N26/Population!AI26)*1000</f>
        <v>53.70057783121328</v>
      </c>
      <c r="AS26" s="73">
        <f>(O26/Population!AJ26)*1000</f>
        <v>62.296442323152519</v>
      </c>
      <c r="AT26" s="73">
        <f>(P26/Population!AK26)*1000</f>
        <v>59.682234315485182</v>
      </c>
      <c r="AU26" s="73">
        <f>(Q26/Population!AL26)*1000</f>
        <v>52.021994594596499</v>
      </c>
      <c r="AV26" s="73">
        <f>(R26/Population!AM26)*1000</f>
        <v>49.888123061174376</v>
      </c>
      <c r="AW26" s="73">
        <f>(S26/Population!AN26)*1000</f>
        <v>48.268222601285402</v>
      </c>
      <c r="AX26" s="73">
        <f>(T26/Population!AO26)*1000</f>
        <v>46.586696126212395</v>
      </c>
      <c r="AY26" s="73">
        <f>(U26/Population!AP26)*1000</f>
        <v>47.956655671283542</v>
      </c>
      <c r="AZ26" s="73">
        <f>(V26/Population!AQ26)*1000</f>
        <v>46.040150603598882</v>
      </c>
      <c r="BA26" s="73">
        <f>(W26/Population!AR26)*1000</f>
        <v>43.905604757346957</v>
      </c>
      <c r="BB26" s="73">
        <f>(X26/Population!AS26)*1000</f>
        <v>43.238882431203095</v>
      </c>
      <c r="BC26" s="73">
        <f>(Y26/Population!AT26)*1000</f>
        <v>42.318704392738148</v>
      </c>
      <c r="BD26" s="73">
        <f>(Z26/Population!AU26)*1000</f>
        <v>41.695021415303344</v>
      </c>
      <c r="BE26" s="73">
        <f>(AA26/Population!AV26)*1000</f>
        <v>44.484183281495369</v>
      </c>
      <c r="BF26" s="73">
        <f>(AB26/Population!AW26)*1000</f>
        <v>45.016914685036255</v>
      </c>
      <c r="BG26" s="73">
        <f>(AC26/Population!AX26)*1000</f>
        <v>43.550660448622814</v>
      </c>
      <c r="BH26" s="73">
        <f>(AD26/Population!AY26)*1000</f>
        <v>42.047597846263734</v>
      </c>
      <c r="BI26" s="73">
        <f>(AE26/Population!AZ26)*1000</f>
        <v>43.063930613766345</v>
      </c>
      <c r="BJ26" s="73">
        <f>(AF26/Population!BA26)*1000</f>
        <v>43.693325800081674</v>
      </c>
      <c r="BK26" s="73">
        <f>(AG26/Population!BB26)*1000</f>
        <v>43.597173925042775</v>
      </c>
      <c r="BL26" s="73"/>
    </row>
    <row r="27" spans="1:64" ht="14" customHeight="1">
      <c r="A27" s="192" t="s">
        <v>841</v>
      </c>
      <c r="B27" s="3" t="s">
        <v>659</v>
      </c>
      <c r="C27" s="3">
        <v>19</v>
      </c>
      <c r="D27" s="3" t="s">
        <v>713</v>
      </c>
      <c r="E27" s="194">
        <v>13259</v>
      </c>
      <c r="F27" s="194">
        <v>14105</v>
      </c>
      <c r="G27" s="194">
        <v>14764</v>
      </c>
      <c r="H27" s="194">
        <v>15848</v>
      </c>
      <c r="I27" s="194">
        <v>16109</v>
      </c>
      <c r="J27" s="194">
        <v>15929</v>
      </c>
      <c r="K27" s="194">
        <v>15676</v>
      </c>
      <c r="L27" s="194">
        <v>15556</v>
      </c>
      <c r="M27" s="194">
        <v>15359</v>
      </c>
      <c r="N27" s="194">
        <v>15529</v>
      </c>
      <c r="O27" s="194">
        <v>16569</v>
      </c>
      <c r="P27" s="194">
        <v>17142</v>
      </c>
      <c r="Q27" s="194">
        <v>18462</v>
      </c>
      <c r="R27" s="194">
        <v>18113</v>
      </c>
      <c r="S27" s="194">
        <v>17001</v>
      </c>
      <c r="T27" s="194">
        <v>16899</v>
      </c>
      <c r="U27" s="194">
        <v>16652</v>
      </c>
      <c r="V27" s="194">
        <v>16738</v>
      </c>
      <c r="W27" s="194">
        <v>18693</v>
      </c>
      <c r="X27" s="194">
        <v>18693</v>
      </c>
      <c r="Y27" s="194">
        <v>18693</v>
      </c>
      <c r="Z27" s="194">
        <v>18693</v>
      </c>
      <c r="AA27" s="195"/>
      <c r="AB27" s="195"/>
      <c r="AC27" s="195"/>
      <c r="AD27" s="195"/>
      <c r="AE27" s="195"/>
      <c r="AF27" s="195"/>
      <c r="AG27" s="195"/>
      <c r="AH27" s="195"/>
      <c r="AI27" s="73">
        <f>(E27/Population!Z27)*1000</f>
        <v>56.64694355582165</v>
      </c>
      <c r="AJ27" s="73">
        <f>(F27/Population!AA27)*1000</f>
        <v>58.62108333341299</v>
      </c>
      <c r="AK27" s="73">
        <f>(G27/Population!AB27)*1000</f>
        <v>59.734014515802492</v>
      </c>
      <c r="AL27" s="73">
        <f>(H27/Population!AC27)*1000</f>
        <v>62.464615340470779</v>
      </c>
      <c r="AM27" s="73">
        <f>(I27/Population!AD27)*1000</f>
        <v>61.895580093068915</v>
      </c>
      <c r="AN27" s="73">
        <f>(J27/Population!AE27)*1000</f>
        <v>59.701620080613118</v>
      </c>
      <c r="AO27" s="73">
        <f>(K27/Population!AF27)*1000</f>
        <v>57.345740196653161</v>
      </c>
      <c r="AP27" s="73">
        <f>(L27/Population!AG27)*1000</f>
        <v>55.575258406552742</v>
      </c>
      <c r="AQ27" s="73">
        <f>(M27/Population!AH27)*1000</f>
        <v>53.616935117888133</v>
      </c>
      <c r="AR27" s="73">
        <f>(N27/Population!AI27)*1000</f>
        <v>52.623356854404875</v>
      </c>
      <c r="AS27" s="73">
        <f>(O27/Population!AJ27)*1000</f>
        <v>54.550626497598905</v>
      </c>
      <c r="AT27" s="73">
        <f>(P27/Population!AK27)*1000</f>
        <v>54.876297837889233</v>
      </c>
      <c r="AU27" s="73">
        <f>(Q27/Population!AL27)*1000</f>
        <v>57.511438739196741</v>
      </c>
      <c r="AV27" s="73">
        <f>(R27/Population!AM27)*1000</f>
        <v>54.945571638098798</v>
      </c>
      <c r="AW27" s="73">
        <f>(S27/Population!AN27)*1000</f>
        <v>50.255311526175866</v>
      </c>
      <c r="AX27" s="73">
        <f>(T27/Population!AO27)*1000</f>
        <v>48.709875747877753</v>
      </c>
      <c r="AY27" s="73">
        <f>(U27/Population!AP27)*1000</f>
        <v>46.831742089057933</v>
      </c>
      <c r="AZ27" s="73">
        <f>(V27/Population!AQ27)*1000</f>
        <v>45.957015446312688</v>
      </c>
      <c r="BA27" s="73">
        <f>(W27/Population!AR27)*1000</f>
        <v>50.135577673535401</v>
      </c>
      <c r="BB27" s="73">
        <f>(X27/Population!AS27)*1000</f>
        <v>48.912375388312142</v>
      </c>
      <c r="BC27" s="73">
        <f>(Y27/Population!AT27)*1000</f>
        <v>47.747438655026713</v>
      </c>
      <c r="BD27" s="73">
        <f>(Z27/Population!AU27)*1000</f>
        <v>46.636700056661113</v>
      </c>
      <c r="BE27" s="73"/>
      <c r="BF27" s="73"/>
      <c r="BG27" s="73"/>
      <c r="BH27" s="73"/>
      <c r="BI27" s="73"/>
      <c r="BJ27" s="73"/>
      <c r="BK27" s="73"/>
      <c r="BL27" s="73"/>
    </row>
    <row r="28" spans="1:64" ht="14" customHeight="1">
      <c r="A28" s="192" t="s">
        <v>660</v>
      </c>
      <c r="B28" s="3" t="s">
        <v>661</v>
      </c>
      <c r="C28" s="3">
        <v>20</v>
      </c>
      <c r="D28" s="3" t="s">
        <v>541</v>
      </c>
      <c r="E28" s="194">
        <v>9486</v>
      </c>
      <c r="F28" s="194">
        <v>11232</v>
      </c>
      <c r="G28" s="194">
        <v>13184</v>
      </c>
      <c r="H28" s="194">
        <v>14138</v>
      </c>
      <c r="I28" s="194">
        <v>14285</v>
      </c>
      <c r="J28" s="194">
        <v>15086</v>
      </c>
      <c r="K28" s="194">
        <v>15521</v>
      </c>
      <c r="L28" s="194">
        <v>15498</v>
      </c>
      <c r="M28" s="194">
        <v>17070</v>
      </c>
      <c r="N28" s="194">
        <v>15791</v>
      </c>
      <c r="O28" s="194">
        <v>13635</v>
      </c>
      <c r="P28" s="194">
        <v>15436</v>
      </c>
      <c r="Q28" s="194">
        <v>15488.3</v>
      </c>
      <c r="R28" s="194">
        <v>16412.3</v>
      </c>
      <c r="S28" s="194">
        <v>16941.3</v>
      </c>
      <c r="T28" s="194">
        <v>17728.3</v>
      </c>
      <c r="U28" s="194">
        <v>17765.3</v>
      </c>
      <c r="V28" s="194">
        <v>17365.3</v>
      </c>
      <c r="W28" s="194">
        <v>17365.3</v>
      </c>
      <c r="X28" s="194">
        <v>17365.3</v>
      </c>
      <c r="Y28" s="194">
        <v>17365.3</v>
      </c>
      <c r="Z28" s="194">
        <v>17365.3</v>
      </c>
      <c r="AA28" s="194">
        <v>18386</v>
      </c>
      <c r="AB28" s="194">
        <v>18444</v>
      </c>
      <c r="AC28" s="194">
        <v>22812</v>
      </c>
      <c r="AD28" s="194">
        <v>23903</v>
      </c>
      <c r="AE28" s="194">
        <v>24885</v>
      </c>
      <c r="AF28" s="194">
        <v>25395</v>
      </c>
      <c r="AG28" s="194">
        <v>26144</v>
      </c>
      <c r="AH28" s="194">
        <v>27323</v>
      </c>
      <c r="AI28" s="73">
        <f>(E28/Population!Z28)*1000</f>
        <v>74.583733371094326</v>
      </c>
      <c r="AJ28" s="73">
        <f>(F28/Population!AA28)*1000</f>
        <v>85.56570150048509</v>
      </c>
      <c r="AK28" s="73">
        <f>(G28/Population!AB28)*1000</f>
        <v>97.407313439209602</v>
      </c>
      <c r="AL28" s="73">
        <f>(H28/Population!AC28)*1000</f>
        <v>101.39795491412873</v>
      </c>
      <c r="AM28" s="73">
        <f>(I28/Population!AD28)*1000</f>
        <v>99.538402417351236</v>
      </c>
      <c r="AN28" s="73">
        <f>(J28/Population!AE28)*1000</f>
        <v>102.2127647523014</v>
      </c>
      <c r="AO28" s="73">
        <f>(K28/Population!AF28)*1000</f>
        <v>102.33014866650056</v>
      </c>
      <c r="AP28" s="73">
        <f>(L28/Population!AG28)*1000</f>
        <v>99.500916040179419</v>
      </c>
      <c r="AQ28" s="73">
        <f>(M28/Population!AH28)*1000</f>
        <v>106.79496243094613</v>
      </c>
      <c r="AR28" s="73">
        <f>(N28/Population!AI28)*1000</f>
        <v>96.482373988190659</v>
      </c>
      <c r="AS28" s="73">
        <f>(O28/Population!AJ28)*1000</f>
        <v>81.40522068068735</v>
      </c>
      <c r="AT28" s="73">
        <f>(P28/Population!AK28)*1000</f>
        <v>90.098503650401923</v>
      </c>
      <c r="AU28" s="73">
        <f>(Q28/Population!AL28)*1000</f>
        <v>88.427866570597615</v>
      </c>
      <c r="AV28" s="73">
        <f>(R28/Population!AM28)*1000</f>
        <v>91.6990725220695</v>
      </c>
      <c r="AW28" s="73">
        <f>(S28/Population!AN28)*1000</f>
        <v>92.672538759202254</v>
      </c>
      <c r="AX28" s="73">
        <f>(T28/Population!AO28)*1000</f>
        <v>94.988437410923055</v>
      </c>
      <c r="AY28" s="73">
        <f>(U28/Population!AP28)*1000</f>
        <v>93.273500692517132</v>
      </c>
      <c r="AZ28" s="73">
        <f>(V28/Population!AQ28)*1000</f>
        <v>89.376960957894482</v>
      </c>
      <c r="BA28" s="73">
        <f>(W28/Population!AR28)*1000</f>
        <v>87.649971482074079</v>
      </c>
      <c r="BB28" s="73">
        <f>(X28/Population!AS28)*1000</f>
        <v>85.916974318170418</v>
      </c>
      <c r="BC28" s="73">
        <f>(Y28/Population!AT28)*1000</f>
        <v>84.251177409876803</v>
      </c>
      <c r="BD28" s="73">
        <f>(Z28/Population!AU28)*1000</f>
        <v>82.648742440079019</v>
      </c>
      <c r="BE28" s="73">
        <f>(AA28/Population!AV28)*1000</f>
        <v>85.873396570267175</v>
      </c>
      <c r="BF28" s="73">
        <f>(AB28/Population!AW28)*1000</f>
        <v>84.565894387725095</v>
      </c>
      <c r="BG28" s="73">
        <f>(AC28/Population!AX28)*1000</f>
        <v>102.71126306983039</v>
      </c>
      <c r="BH28" s="73">
        <f>(AD28/Population!AY28)*1000</f>
        <v>105.72125220527199</v>
      </c>
      <c r="BI28" s="73">
        <f>(AE28/Population!AZ28)*1000</f>
        <v>108.15296466898847</v>
      </c>
      <c r="BJ28" s="73">
        <f>(AF28/Population!BA28)*1000</f>
        <v>108.48530674492817</v>
      </c>
      <c r="BK28" s="73">
        <f>(AG28/Population!BB28)*1000</f>
        <v>109.76987122697558</v>
      </c>
      <c r="BL28" s="73">
        <f>(AH28/Population!BC28)*1000</f>
        <v>112.77680321948199</v>
      </c>
    </row>
    <row r="29" spans="1:64" ht="14" customHeight="1">
      <c r="A29" s="192" t="s">
        <v>80</v>
      </c>
      <c r="B29" s="3" t="s">
        <v>747</v>
      </c>
      <c r="C29" s="3">
        <v>21</v>
      </c>
      <c r="D29" s="3" t="s">
        <v>759</v>
      </c>
      <c r="E29" s="194">
        <v>58654</v>
      </c>
      <c r="F29" s="194">
        <v>59948</v>
      </c>
      <c r="G29" s="194">
        <v>61019</v>
      </c>
      <c r="H29" s="194">
        <v>62414</v>
      </c>
      <c r="I29" s="194">
        <v>67242</v>
      </c>
      <c r="J29" s="194">
        <v>70778</v>
      </c>
      <c r="K29" s="194">
        <v>73955</v>
      </c>
      <c r="L29" s="194">
        <v>77625</v>
      </c>
      <c r="M29" s="194">
        <v>82834</v>
      </c>
      <c r="N29" s="194">
        <v>86178</v>
      </c>
      <c r="O29" s="194">
        <v>85135</v>
      </c>
      <c r="P29" s="194">
        <v>84216</v>
      </c>
      <c r="Q29" s="194">
        <v>94959</v>
      </c>
      <c r="R29" s="194">
        <v>94802</v>
      </c>
      <c r="S29" s="194">
        <v>94625</v>
      </c>
      <c r="T29" s="194">
        <v>99792</v>
      </c>
      <c r="U29" s="194">
        <v>101363</v>
      </c>
      <c r="V29" s="194">
        <v>104623</v>
      </c>
      <c r="W29" s="194">
        <v>105692</v>
      </c>
      <c r="X29" s="194">
        <v>105162</v>
      </c>
      <c r="Y29" s="194">
        <v>98323</v>
      </c>
      <c r="Z29" s="194">
        <v>99890</v>
      </c>
      <c r="AA29" s="194">
        <v>101366</v>
      </c>
      <c r="AB29" s="194">
        <v>102640</v>
      </c>
      <c r="AC29" s="194">
        <v>106800</v>
      </c>
      <c r="AD29" s="194">
        <v>108564</v>
      </c>
      <c r="AE29" s="194">
        <v>108635</v>
      </c>
      <c r="AF29" s="194">
        <v>111382</v>
      </c>
      <c r="AG29" s="194">
        <v>112060</v>
      </c>
      <c r="AH29" s="194">
        <v>118074</v>
      </c>
      <c r="AI29" s="73">
        <f>(E29/Population!Z29)*1000</f>
        <v>22.944608412120751</v>
      </c>
      <c r="AJ29" s="73">
        <f>(F29/Population!AA29)*1000</f>
        <v>23.176443998623984</v>
      </c>
      <c r="AK29" s="73">
        <f>(G29/Population!AB29)*1000</f>
        <v>23.317699926090626</v>
      </c>
      <c r="AL29" s="73">
        <f>(H29/Population!AC29)*1000</f>
        <v>23.578124514211641</v>
      </c>
      <c r="AM29" s="73">
        <f>(I29/Population!AD29)*1000</f>
        <v>25.114886731270712</v>
      </c>
      <c r="AN29" s="73">
        <f>(J29/Population!AE29)*1000</f>
        <v>26.140130422180576</v>
      </c>
      <c r="AO29" s="73">
        <f>(K29/Population!AF29)*1000</f>
        <v>27.011587096105917</v>
      </c>
      <c r="AP29" s="73">
        <f>(L29/Population!AG29)*1000</f>
        <v>28.042087877491209</v>
      </c>
      <c r="AQ29" s="73">
        <f>(M29/Population!AH29)*1000</f>
        <v>29.600253285601671</v>
      </c>
      <c r="AR29" s="73">
        <f>(N29/Population!AI29)*1000</f>
        <v>30.471731597571171</v>
      </c>
      <c r="AS29" s="73">
        <f>(O29/Population!AJ29)*1000</f>
        <v>29.790014601253652</v>
      </c>
      <c r="AT29" s="73">
        <f>(P29/Population!AK29)*1000</f>
        <v>29.165267842480123</v>
      </c>
      <c r="AU29" s="73">
        <f>(Q29/Population!AL29)*1000</f>
        <v>32.550843403428068</v>
      </c>
      <c r="AV29" s="73">
        <f>(R29/Population!AM29)*1000</f>
        <v>32.169432964625571</v>
      </c>
      <c r="AW29" s="73">
        <f>(S29/Population!AN29)*1000</f>
        <v>31.788916621627472</v>
      </c>
      <c r="AX29" s="73">
        <f>(T29/Population!AO29)*1000</f>
        <v>33.193477138471607</v>
      </c>
      <c r="AY29" s="73">
        <f>(U29/Population!AP29)*1000</f>
        <v>33.38612946188659</v>
      </c>
      <c r="AZ29" s="73">
        <f>(V29/Population!AQ29)*1000</f>
        <v>34.125966806713286</v>
      </c>
      <c r="BA29" s="73">
        <f>(W29/Population!AR29)*1000</f>
        <v>34.143801187273375</v>
      </c>
      <c r="BB29" s="73">
        <f>(X29/Population!AS29)*1000</f>
        <v>33.742855007726597</v>
      </c>
      <c r="BC29" s="73">
        <f>(Y29/Population!AT29)*1000</f>
        <v>31.336551754822043</v>
      </c>
      <c r="BD29" s="73">
        <f>(Z29/Population!AU29)*1000</f>
        <v>31.623562032565903</v>
      </c>
      <c r="BE29" s="73">
        <f>(AA29/Population!AV29)*1000</f>
        <v>31.878149652134876</v>
      </c>
      <c r="BF29" s="73">
        <f>(AB29/Population!AW29)*1000</f>
        <v>32.066277972391511</v>
      </c>
      <c r="BG29" s="73">
        <f>(AC29/Population!AX29)*1000</f>
        <v>33.147676343232767</v>
      </c>
      <c r="BH29" s="73">
        <f>(AD29/Population!AY29)*1000</f>
        <v>33.476202214219938</v>
      </c>
      <c r="BI29" s="73">
        <f>(AE29/Population!AZ29)*1000</f>
        <v>33.281812162887043</v>
      </c>
      <c r="BJ29" s="73">
        <f>(AF29/Population!BA29)*1000</f>
        <v>33.904485917014945</v>
      </c>
      <c r="BK29" s="73">
        <f>(AG29/Population!BB29)*1000</f>
        <v>33.897136136658155</v>
      </c>
      <c r="BL29" s="73">
        <f>(AH29/Population!BC29)*1000</f>
        <v>35.494847303977046</v>
      </c>
    </row>
    <row r="30" spans="1:64" ht="14" customHeight="1">
      <c r="A30" s="192" t="s">
        <v>721</v>
      </c>
      <c r="B30" s="3" t="s">
        <v>722</v>
      </c>
      <c r="C30" s="3">
        <v>22</v>
      </c>
      <c r="D30" s="3" t="s">
        <v>664</v>
      </c>
      <c r="E30" s="194">
        <v>24253</v>
      </c>
      <c r="F30" s="194">
        <v>25809</v>
      </c>
      <c r="G30" s="194">
        <v>25753</v>
      </c>
      <c r="H30" s="194">
        <v>24402</v>
      </c>
      <c r="I30" s="194">
        <v>29973</v>
      </c>
      <c r="J30" s="194">
        <v>30528</v>
      </c>
      <c r="K30" s="194">
        <v>30691</v>
      </c>
      <c r="L30" s="194">
        <v>30565</v>
      </c>
      <c r="M30" s="194">
        <v>30973</v>
      </c>
      <c r="N30" s="194">
        <v>35091</v>
      </c>
      <c r="O30" s="194">
        <v>31561</v>
      </c>
      <c r="P30" s="194">
        <v>32303</v>
      </c>
      <c r="Q30" s="194">
        <v>31961</v>
      </c>
      <c r="R30" s="194">
        <v>31535</v>
      </c>
      <c r="S30" s="194">
        <v>33651</v>
      </c>
      <c r="T30" s="194">
        <v>34272</v>
      </c>
      <c r="U30" s="194">
        <v>34454</v>
      </c>
      <c r="V30" s="194">
        <v>34881</v>
      </c>
      <c r="W30" s="194">
        <v>34118</v>
      </c>
      <c r="X30" s="194">
        <v>33937</v>
      </c>
      <c r="Y30" s="194">
        <v>35392</v>
      </c>
      <c r="Z30" s="194">
        <v>36386</v>
      </c>
      <c r="AA30" s="194">
        <v>39253</v>
      </c>
      <c r="AB30" s="194">
        <v>41230</v>
      </c>
      <c r="AC30" s="194">
        <v>42361</v>
      </c>
      <c r="AD30" s="194">
        <v>43948</v>
      </c>
      <c r="AE30" s="194">
        <v>43977</v>
      </c>
      <c r="AF30" s="194">
        <v>46110</v>
      </c>
      <c r="AG30" s="194">
        <v>49474</v>
      </c>
      <c r="AH30" s="194"/>
      <c r="AI30" s="73">
        <f>(E30/Population!Z30)*1000</f>
        <v>39.375681226641838</v>
      </c>
      <c r="AJ30" s="73">
        <f>(F30/Population!AA30)*1000</f>
        <v>41.430641848434931</v>
      </c>
      <c r="AK30" s="73">
        <f>(G30/Population!AB30)*1000</f>
        <v>40.880963248390259</v>
      </c>
      <c r="AL30" s="73">
        <f>(H30/Population!AC30)*1000</f>
        <v>38.310272988718914</v>
      </c>
      <c r="AM30" s="73">
        <f>(I30/Population!AD30)*1000</f>
        <v>46.544580096936272</v>
      </c>
      <c r="AN30" s="73">
        <f>(J30/Population!AE30)*1000</f>
        <v>46.896209952709768</v>
      </c>
      <c r="AO30" s="73">
        <f>(K30/Population!AF30)*1000</f>
        <v>46.644583984902539</v>
      </c>
      <c r="AP30" s="73">
        <f>(L30/Population!AG30)*1000</f>
        <v>45.963662585542565</v>
      </c>
      <c r="AQ30" s="73">
        <f>(M30/Population!AH30)*1000</f>
        <v>46.091596873753701</v>
      </c>
      <c r="AR30" s="73">
        <f>(N30/Population!AI30)*1000</f>
        <v>51.176739791851219</v>
      </c>
      <c r="AS30" s="73">
        <f>(O30/Population!AJ30)*1000</f>
        <v>45.127293254627119</v>
      </c>
      <c r="AT30" s="73">
        <f>(P30/Population!AK30)*1000</f>
        <v>45.301188463770401</v>
      </c>
      <c r="AU30" s="73">
        <f>(Q30/Population!AL30)*1000</f>
        <v>43.9769917816784</v>
      </c>
      <c r="AV30" s="73">
        <f>(R30/Population!AM30)*1000</f>
        <v>42.588333484140286</v>
      </c>
      <c r="AW30" s="73">
        <f>(S30/Population!AN30)*1000</f>
        <v>44.620765263826186</v>
      </c>
      <c r="AX30" s="73">
        <f>(T30/Population!AO30)*1000</f>
        <v>44.633705897322166</v>
      </c>
      <c r="AY30" s="73">
        <f>(U30/Population!AP30)*1000</f>
        <v>44.084484984098154</v>
      </c>
      <c r="AZ30" s="73">
        <f>(V30/Population!AQ30)*1000</f>
        <v>43.862263363711605</v>
      </c>
      <c r="BA30" s="73">
        <f>(W30/Population!AR30)*1000</f>
        <v>42.176494003219055</v>
      </c>
      <c r="BB30" s="73">
        <f>(X30/Population!AS30)*1000</f>
        <v>41.527006405880606</v>
      </c>
      <c r="BC30" s="73">
        <f>(Y30/Population!AT30)*1000</f>
        <v>42.872348502963781</v>
      </c>
      <c r="BD30" s="73">
        <f>(Z30/Population!AU30)*1000</f>
        <v>43.638046855240447</v>
      </c>
      <c r="BE30" s="73">
        <f>(AA30/Population!AV30)*1000</f>
        <v>46.612847449805329</v>
      </c>
      <c r="BF30" s="73">
        <f>(AB30/Population!AW30)*1000</f>
        <v>48.483060520770628</v>
      </c>
      <c r="BG30" s="73">
        <f>(AC30/Population!AX30)*1000</f>
        <v>49.331930876882438</v>
      </c>
      <c r="BH30" s="73">
        <f>(AD30/Population!AY30)*1000</f>
        <v>50.690520508184115</v>
      </c>
      <c r="BI30" s="73">
        <f>(AE30/Population!AZ30)*1000</f>
        <v>50.243363327780749</v>
      </c>
      <c r="BJ30" s="73">
        <f>(AF30/Population!BA30)*1000</f>
        <v>52.185840898261944</v>
      </c>
      <c r="BK30" s="73">
        <f>(AG30/Population!BB30)*1000</f>
        <v>55.418275014617947</v>
      </c>
      <c r="BL30" s="73"/>
    </row>
    <row r="31" spans="1:64" ht="14" customHeight="1">
      <c r="A31" s="192" t="s">
        <v>723</v>
      </c>
      <c r="B31" s="3" t="s">
        <v>724</v>
      </c>
      <c r="C31" s="3">
        <v>23</v>
      </c>
      <c r="D31" s="3" t="s">
        <v>541</v>
      </c>
      <c r="E31" s="194">
        <v>1753</v>
      </c>
      <c r="F31" s="194">
        <v>2773</v>
      </c>
      <c r="G31" s="194">
        <v>3383</v>
      </c>
      <c r="H31" s="194">
        <v>3833</v>
      </c>
      <c r="I31" s="194">
        <v>3808</v>
      </c>
      <c r="J31" s="194">
        <v>4146</v>
      </c>
      <c r="K31" s="194">
        <v>4522</v>
      </c>
      <c r="L31" s="194">
        <v>6100</v>
      </c>
      <c r="M31" s="194">
        <v>5708</v>
      </c>
      <c r="N31" s="194">
        <v>5139</v>
      </c>
      <c r="O31" s="194">
        <v>5519</v>
      </c>
      <c r="P31" s="194">
        <v>6192</v>
      </c>
      <c r="Q31" s="194">
        <v>7326</v>
      </c>
      <c r="R31" s="194">
        <v>6636</v>
      </c>
      <c r="S31" s="194">
        <v>6878</v>
      </c>
      <c r="T31" s="194">
        <v>7010</v>
      </c>
      <c r="U31" s="194">
        <v>7777</v>
      </c>
      <c r="V31" s="194">
        <v>8129</v>
      </c>
      <c r="W31" s="194">
        <v>8215</v>
      </c>
      <c r="X31" s="194">
        <v>8215</v>
      </c>
      <c r="Y31" s="194">
        <v>8408</v>
      </c>
      <c r="Z31" s="194">
        <v>8398</v>
      </c>
      <c r="AA31" s="194">
        <v>11637</v>
      </c>
      <c r="AB31" s="194">
        <v>12493</v>
      </c>
      <c r="AC31" s="195"/>
      <c r="AD31" s="195">
        <v>15326</v>
      </c>
      <c r="AE31" s="195">
        <v>15487</v>
      </c>
      <c r="AF31" s="195">
        <v>16185</v>
      </c>
      <c r="AG31" s="195">
        <v>17130</v>
      </c>
      <c r="AH31" s="195">
        <v>17681</v>
      </c>
      <c r="AI31" s="73">
        <f>(E31/Population!Z31)*1000</f>
        <v>45.162318344364358</v>
      </c>
      <c r="AJ31" s="73">
        <f>(F31/Population!AA31)*1000</f>
        <v>65.040876185274968</v>
      </c>
      <c r="AK31" s="73">
        <f>(G31/Population!AB31)*1000</f>
        <v>72.824872498889164</v>
      </c>
      <c r="AL31" s="73">
        <f>(H31/Population!AC31)*1000</f>
        <v>76.243571337199057</v>
      </c>
      <c r="AM31" s="73">
        <f>(I31/Population!AD31)*1000</f>
        <v>70.39822489988542</v>
      </c>
      <c r="AN31" s="73">
        <f>(J31/Population!AE31)*1000</f>
        <v>71.592053765528775</v>
      </c>
      <c r="AO31" s="73">
        <f>(K31/Population!AF31)*1000</f>
        <v>73.253740654802272</v>
      </c>
      <c r="AP31" s="73">
        <f>(L31/Population!AG31)*1000</f>
        <v>93.058992169894353</v>
      </c>
      <c r="AQ31" s="73">
        <f>(M31/Population!AH31)*1000</f>
        <v>82.284593982903033</v>
      </c>
      <c r="AR31" s="73">
        <f>(N31/Population!AI31)*1000</f>
        <v>70.827269118814499</v>
      </c>
      <c r="AS31" s="73">
        <f>(O31/Population!AJ31)*1000</f>
        <v>72.863280022602268</v>
      </c>
      <c r="AT31" s="73">
        <f>(P31/Population!AK31)*1000</f>
        <v>78.446873527220774</v>
      </c>
      <c r="AU31" s="73">
        <f>(Q31/Population!AL31)*1000</f>
        <v>89.210693593050181</v>
      </c>
      <c r="AV31" s="73">
        <f>(R31/Population!AM31)*1000</f>
        <v>77.788718525812342</v>
      </c>
      <c r="AW31" s="73">
        <f>(S31/Population!AN31)*1000</f>
        <v>77.721202588145431</v>
      </c>
      <c r="AX31" s="73">
        <f>(T31/Population!AO31)*1000</f>
        <v>76.458603283466175</v>
      </c>
      <c r="AY31" s="73">
        <f>(U31/Population!AP31)*1000</f>
        <v>81.974124973385031</v>
      </c>
      <c r="AZ31" s="73">
        <f>(V31/Population!AQ31)*1000</f>
        <v>82.898901887839187</v>
      </c>
      <c r="BA31" s="73">
        <f>(W31/Population!AR31)*1000</f>
        <v>81.138206564145108</v>
      </c>
      <c r="BB31" s="73">
        <f>(X31/Population!AS31)*1000</f>
        <v>78.348364965472356</v>
      </c>
      <c r="BC31" s="73">
        <f>(Y31/Population!AT31)*1000</f>
        <v>77.523496774402929</v>
      </c>
      <c r="BD31" s="73">
        <f>(Z31/Population!AU31)*1000</f>
        <v>74.940209795108402</v>
      </c>
      <c r="BE31" s="73">
        <f>(AA31/Population!AV31)*1000</f>
        <v>100.60700510746759</v>
      </c>
      <c r="BF31" s="73">
        <f>(AB31/Population!AW31)*1000</f>
        <v>104.74280414084951</v>
      </c>
      <c r="BG31" s="73"/>
      <c r="BH31" s="73">
        <f>(AD31/Population!AY31)*1000</f>
        <v>121.1698974949788</v>
      </c>
      <c r="BI31" s="73">
        <f>(AE31/Population!AZ31)*1000</f>
        <v>119.0494676020484</v>
      </c>
      <c r="BJ31" s="73">
        <f>(AF31/Population!BA31)*1000</f>
        <v>121.06003261178512</v>
      </c>
      <c r="BK31" s="73">
        <f>(AG31/Population!BB31)*1000</f>
        <v>124.59722292938037</v>
      </c>
      <c r="BL31" s="73">
        <f>(AH31/Population!BC31)*1000</f>
        <v>125.12827045427203</v>
      </c>
    </row>
    <row r="32" spans="1:64" ht="14" customHeight="1">
      <c r="A32" s="192" t="s">
        <v>725</v>
      </c>
      <c r="B32" s="3" t="s">
        <v>726</v>
      </c>
      <c r="C32" s="3">
        <v>24</v>
      </c>
      <c r="D32" s="3" t="s">
        <v>664</v>
      </c>
      <c r="E32" s="194">
        <v>35509</v>
      </c>
      <c r="F32" s="194">
        <v>36973</v>
      </c>
      <c r="G32" s="194">
        <v>37893</v>
      </c>
      <c r="H32" s="194">
        <v>38163</v>
      </c>
      <c r="I32" s="194">
        <v>45676</v>
      </c>
      <c r="J32" s="194">
        <v>47326</v>
      </c>
      <c r="K32" s="194">
        <v>47548</v>
      </c>
      <c r="L32" s="194">
        <v>44493</v>
      </c>
      <c r="M32" s="194">
        <v>44032</v>
      </c>
      <c r="N32" s="194">
        <v>42082</v>
      </c>
      <c r="O32" s="194">
        <v>43403</v>
      </c>
      <c r="P32" s="194">
        <v>46632</v>
      </c>
      <c r="Q32" s="194">
        <v>48190.566666666666</v>
      </c>
      <c r="R32" s="194">
        <v>45194.766666666663</v>
      </c>
      <c r="S32" s="194">
        <v>45673.166666666664</v>
      </c>
      <c r="T32" s="194">
        <v>46106.566666666666</v>
      </c>
      <c r="U32" s="194">
        <v>46306.400000000001</v>
      </c>
      <c r="V32" s="194">
        <v>46100.066666666666</v>
      </c>
      <c r="W32" s="194">
        <v>46745.3</v>
      </c>
      <c r="X32" s="194">
        <v>46613</v>
      </c>
      <c r="Y32" s="194">
        <v>49065</v>
      </c>
      <c r="Z32" s="194">
        <v>54462</v>
      </c>
      <c r="AA32" s="194">
        <v>63214</v>
      </c>
      <c r="AB32" s="194">
        <v>67255</v>
      </c>
      <c r="AC32" s="194">
        <v>63253</v>
      </c>
      <c r="AD32" s="194">
        <v>66608</v>
      </c>
      <c r="AE32" s="194">
        <v>69766</v>
      </c>
      <c r="AF32" s="194">
        <v>71899</v>
      </c>
      <c r="AG32" s="194">
        <v>74629</v>
      </c>
      <c r="AH32" s="194">
        <v>75634</v>
      </c>
      <c r="AI32" s="73">
        <f>(E32/Population!Z32)*1000</f>
        <v>34.851402820736652</v>
      </c>
      <c r="AJ32" s="73">
        <f>(F32/Population!AA32)*1000</f>
        <v>35.747808219337017</v>
      </c>
      <c r="AK32" s="73">
        <f>(G32/Population!AB32)*1000</f>
        <v>36.099652302797324</v>
      </c>
      <c r="AL32" s="73">
        <f>(H32/Population!AC32)*1000</f>
        <v>35.83103390226276</v>
      </c>
      <c r="AM32" s="73">
        <f>(I32/Population!AD32)*1000</f>
        <v>42.273538186676596</v>
      </c>
      <c r="AN32" s="73">
        <f>(J32/Population!AE32)*1000</f>
        <v>43.184936025595242</v>
      </c>
      <c r="AO32" s="73">
        <f>(K32/Population!AF32)*1000</f>
        <v>42.786084246328997</v>
      </c>
      <c r="AP32" s="73">
        <f>(L32/Population!AG32)*1000</f>
        <v>39.489642544757906</v>
      </c>
      <c r="AQ32" s="73">
        <f>(M32/Population!AH32)*1000</f>
        <v>38.553372938565197</v>
      </c>
      <c r="AR32" s="73">
        <f>(N32/Population!AI32)*1000</f>
        <v>36.176273928032238</v>
      </c>
      <c r="AS32" s="73">
        <f>(O32/Population!AJ32)*1000</f>
        <v>36.645800267850461</v>
      </c>
      <c r="AT32" s="73">
        <f>(P32/Population!AK32)*1000</f>
        <v>38.681555537380142</v>
      </c>
      <c r="AU32" s="73">
        <f>(Q32/Population!AL32)*1000</f>
        <v>39.28538024415073</v>
      </c>
      <c r="AV32" s="73">
        <f>(R32/Population!AM32)*1000</f>
        <v>36.218892155912066</v>
      </c>
      <c r="AW32" s="73">
        <f>(S32/Population!AN32)*1000</f>
        <v>35.992410412272996</v>
      </c>
      <c r="AX32" s="73">
        <f>(T32/Population!AO32)*1000</f>
        <v>35.73847154038986</v>
      </c>
      <c r="AY32" s="73">
        <f>(U32/Population!AP32)*1000</f>
        <v>35.314597372377492</v>
      </c>
      <c r="AZ32" s="73">
        <f>(V32/Population!AQ32)*1000</f>
        <v>34.599337004610391</v>
      </c>
      <c r="BA32" s="73">
        <f>(W32/Population!AR32)*1000</f>
        <v>34.535562646421496</v>
      </c>
      <c r="BB32" s="73">
        <f>(X32/Population!AS32)*1000</f>
        <v>33.996944629171253</v>
      </c>
      <c r="BC32" s="73">
        <f>(Y32/Population!AT32)*1000</f>
        <v>35.332963764862846</v>
      </c>
      <c r="BD32" s="73">
        <f>(Z32/Population!AU32)*1000</f>
        <v>38.729929676397937</v>
      </c>
      <c r="BE32" s="73">
        <f>(AA32/Population!AV32)*1000</f>
        <v>44.399583326338899</v>
      </c>
      <c r="BF32" s="73">
        <f>(AB32/Population!AW32)*1000</f>
        <v>46.662576391712818</v>
      </c>
      <c r="BG32" s="73">
        <f>(AC32/Population!AX32)*1000</f>
        <v>43.357895701547861</v>
      </c>
      <c r="BH32" s="73">
        <f>(AD32/Population!AY32)*1000</f>
        <v>45.114827151041474</v>
      </c>
      <c r="BI32" s="73">
        <f>(AE32/Population!AZ32)*1000</f>
        <v>46.698606766217537</v>
      </c>
      <c r="BJ32" s="73">
        <f>(AF32/Population!BA32)*1000</f>
        <v>47.567475302940885</v>
      </c>
      <c r="BK32" s="73">
        <f>(AG32/Population!BB32)*1000</f>
        <v>48.792272110622577</v>
      </c>
      <c r="BL32" s="73">
        <f>(AH32/Population!BC32)*1000</f>
        <v>48.871959395061374</v>
      </c>
    </row>
    <row r="33" spans="1:64" ht="14" customHeight="1">
      <c r="A33" s="192"/>
      <c r="B33" s="3"/>
      <c r="C33" s="3"/>
      <c r="D33" s="3"/>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row>
    <row r="34" spans="1:64" ht="14" customHeight="1">
      <c r="A34" s="192" t="s">
        <v>727</v>
      </c>
      <c r="B34" s="3"/>
      <c r="C34" s="3"/>
      <c r="D34" s="3"/>
      <c r="E34" s="194">
        <f t="shared" ref="E34:Z34" si="0">SUM(E9:E32)</f>
        <v>759353</v>
      </c>
      <c r="F34" s="194">
        <f t="shared" si="0"/>
        <v>802670</v>
      </c>
      <c r="G34" s="194">
        <f t="shared" si="0"/>
        <v>839235</v>
      </c>
      <c r="H34" s="194">
        <f t="shared" si="0"/>
        <v>897601</v>
      </c>
      <c r="I34" s="194">
        <f t="shared" si="0"/>
        <v>1020279</v>
      </c>
      <c r="J34" s="194">
        <f t="shared" si="0"/>
        <v>1061422</v>
      </c>
      <c r="K34" s="194">
        <f t="shared" si="0"/>
        <v>1096295</v>
      </c>
      <c r="L34" s="194">
        <f t="shared" si="0"/>
        <v>1122992.7</v>
      </c>
      <c r="M34" s="194">
        <f t="shared" si="0"/>
        <v>1097763.6499999999</v>
      </c>
      <c r="N34" s="194">
        <f t="shared" si="0"/>
        <v>1109932</v>
      </c>
      <c r="O34" s="194">
        <f t="shared" si="0"/>
        <v>1154628.5333333332</v>
      </c>
      <c r="P34" s="194">
        <f t="shared" si="0"/>
        <v>1164519.9333333333</v>
      </c>
      <c r="Q34" s="194">
        <f t="shared" si="0"/>
        <v>1213118.1333333335</v>
      </c>
      <c r="R34" s="194">
        <f t="shared" si="0"/>
        <v>1201482.5333333332</v>
      </c>
      <c r="S34" s="194">
        <f t="shared" si="0"/>
        <v>1240651.2666666668</v>
      </c>
      <c r="T34" s="194">
        <f t="shared" si="0"/>
        <v>1270986.3666666667</v>
      </c>
      <c r="U34" s="194">
        <f t="shared" si="0"/>
        <v>1324613.2333333334</v>
      </c>
      <c r="V34" s="194">
        <f t="shared" si="0"/>
        <v>1359601.5</v>
      </c>
      <c r="W34" s="194">
        <f t="shared" si="0"/>
        <v>1363080.5666666667</v>
      </c>
      <c r="X34" s="194">
        <f t="shared" si="0"/>
        <v>1348116.2666666666</v>
      </c>
      <c r="Y34" s="194">
        <f t="shared" si="0"/>
        <v>1381917.9666666668</v>
      </c>
      <c r="Z34" s="194">
        <f t="shared" si="0"/>
        <v>1427215.1</v>
      </c>
      <c r="AA34" s="194"/>
      <c r="AB34" s="194"/>
      <c r="AC34" s="194"/>
      <c r="AD34" s="194"/>
      <c r="AE34" s="194"/>
      <c r="AF34" s="194"/>
      <c r="AG34" s="194"/>
      <c r="AH34" s="194"/>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row>
    <row r="35" spans="1:64" ht="363">
      <c r="A35" s="135" t="s">
        <v>728</v>
      </c>
      <c r="B35" s="7"/>
      <c r="C35" s="7"/>
      <c r="D35" s="7"/>
      <c r="E35" s="7" t="s">
        <v>2924</v>
      </c>
      <c r="F35" s="7" t="s">
        <v>2924</v>
      </c>
      <c r="G35" s="7" t="s">
        <v>2924</v>
      </c>
      <c r="H35" s="7" t="s">
        <v>2924</v>
      </c>
      <c r="I35" s="7" t="s">
        <v>2924</v>
      </c>
      <c r="J35" s="7" t="s">
        <v>2924</v>
      </c>
      <c r="K35" s="7" t="s">
        <v>2924</v>
      </c>
      <c r="L35" s="7" t="s">
        <v>2924</v>
      </c>
      <c r="M35" s="7" t="s">
        <v>2924</v>
      </c>
      <c r="N35" s="7" t="s">
        <v>2924</v>
      </c>
      <c r="O35" s="7" t="s">
        <v>2924</v>
      </c>
      <c r="P35" s="7" t="s">
        <v>2924</v>
      </c>
      <c r="Q35" s="7" t="s">
        <v>2924</v>
      </c>
      <c r="R35" s="7" t="s">
        <v>2924</v>
      </c>
      <c r="S35" s="7" t="s">
        <v>2924</v>
      </c>
      <c r="T35" s="7" t="s">
        <v>2924</v>
      </c>
      <c r="U35" s="7" t="s">
        <v>2924</v>
      </c>
      <c r="V35" s="7" t="s">
        <v>2924</v>
      </c>
      <c r="W35" s="7" t="s">
        <v>2924</v>
      </c>
      <c r="X35" s="7" t="s">
        <v>2924</v>
      </c>
      <c r="Y35" s="7" t="s">
        <v>2924</v>
      </c>
      <c r="Z35" s="7" t="s">
        <v>2924</v>
      </c>
      <c r="AA35" s="7" t="s">
        <v>2924</v>
      </c>
      <c r="AB35" s="7" t="s">
        <v>2924</v>
      </c>
      <c r="AC35" s="7" t="s">
        <v>2924</v>
      </c>
      <c r="AD35" s="7" t="s">
        <v>2924</v>
      </c>
      <c r="AE35" s="7" t="s">
        <v>2924</v>
      </c>
      <c r="AF35" s="7" t="s">
        <v>2924</v>
      </c>
      <c r="AG35" s="7" t="s">
        <v>2924</v>
      </c>
      <c r="AH35" s="1" t="s">
        <v>2929</v>
      </c>
      <c r="AI35" s="1" t="s">
        <v>2966</v>
      </c>
      <c r="AJ35" s="1" t="s">
        <v>2966</v>
      </c>
      <c r="AK35" s="1" t="s">
        <v>2966</v>
      </c>
      <c r="AL35" s="1" t="s">
        <v>2966</v>
      </c>
      <c r="AM35" s="1" t="s">
        <v>2966</v>
      </c>
      <c r="AN35" s="1" t="s">
        <v>2966</v>
      </c>
      <c r="AO35" s="1" t="s">
        <v>2966</v>
      </c>
      <c r="AP35" s="1" t="s">
        <v>2966</v>
      </c>
      <c r="AQ35" s="1" t="s">
        <v>2966</v>
      </c>
      <c r="AR35" s="1" t="s">
        <v>2966</v>
      </c>
      <c r="AS35" s="1" t="s">
        <v>2966</v>
      </c>
      <c r="AT35" s="1" t="s">
        <v>2966</v>
      </c>
      <c r="AU35" s="1" t="s">
        <v>2966</v>
      </c>
      <c r="AV35" s="1" t="s">
        <v>2966</v>
      </c>
      <c r="AW35" s="1" t="s">
        <v>2966</v>
      </c>
      <c r="AX35" s="1" t="s">
        <v>2966</v>
      </c>
      <c r="AY35" s="1" t="s">
        <v>2966</v>
      </c>
      <c r="AZ35" s="1" t="s">
        <v>2966</v>
      </c>
      <c r="BA35" s="1" t="s">
        <v>2966</v>
      </c>
      <c r="BB35" s="1" t="s">
        <v>2966</v>
      </c>
      <c r="BC35" s="1" t="s">
        <v>2966</v>
      </c>
      <c r="BD35" s="1" t="s">
        <v>2966</v>
      </c>
      <c r="BE35" s="1" t="s">
        <v>2966</v>
      </c>
      <c r="BF35" s="1" t="s">
        <v>2966</v>
      </c>
      <c r="BG35" s="1" t="s">
        <v>2966</v>
      </c>
      <c r="BH35" s="1" t="s">
        <v>2966</v>
      </c>
      <c r="BI35" s="1" t="s">
        <v>2966</v>
      </c>
      <c r="BJ35" s="1" t="s">
        <v>2966</v>
      </c>
      <c r="BK35" s="1" t="s">
        <v>2966</v>
      </c>
      <c r="BL35" s="1" t="s">
        <v>2966</v>
      </c>
    </row>
    <row r="36" spans="1:64" ht="385">
      <c r="E36" s="1" t="s">
        <v>2923</v>
      </c>
      <c r="F36" s="1" t="s">
        <v>2923</v>
      </c>
      <c r="G36" s="1" t="s">
        <v>2923</v>
      </c>
      <c r="H36" s="1" t="s">
        <v>2923</v>
      </c>
      <c r="I36" s="1" t="s">
        <v>2923</v>
      </c>
      <c r="J36" s="1" t="s">
        <v>2923</v>
      </c>
      <c r="K36" s="1" t="s">
        <v>2923</v>
      </c>
      <c r="L36" s="1" t="s">
        <v>2923</v>
      </c>
      <c r="M36" s="1" t="s">
        <v>2923</v>
      </c>
      <c r="N36" s="1" t="s">
        <v>2923</v>
      </c>
      <c r="O36" s="1" t="s">
        <v>2923</v>
      </c>
      <c r="P36" s="1" t="s">
        <v>2923</v>
      </c>
      <c r="Q36" s="1" t="s">
        <v>2923</v>
      </c>
      <c r="R36" s="1" t="s">
        <v>2923</v>
      </c>
      <c r="S36" s="1" t="s">
        <v>2923</v>
      </c>
      <c r="T36" s="1" t="s">
        <v>2923</v>
      </c>
      <c r="U36" s="1" t="s">
        <v>2923</v>
      </c>
      <c r="V36" s="1" t="s">
        <v>2923</v>
      </c>
      <c r="W36" s="1" t="s">
        <v>2925</v>
      </c>
      <c r="X36" s="1" t="s">
        <v>2923</v>
      </c>
      <c r="Y36" s="1" t="s">
        <v>2923</v>
      </c>
      <c r="Z36" s="1" t="s">
        <v>2923</v>
      </c>
      <c r="AA36" s="1" t="s">
        <v>2926</v>
      </c>
      <c r="AB36" s="1" t="s">
        <v>2923</v>
      </c>
      <c r="AC36" s="1" t="s">
        <v>2923</v>
      </c>
      <c r="AD36" s="1" t="s">
        <v>2923</v>
      </c>
      <c r="AE36" s="1" t="s">
        <v>2923</v>
      </c>
      <c r="AF36" s="1" t="s">
        <v>2923</v>
      </c>
      <c r="AG36" s="1" t="s">
        <v>2927</v>
      </c>
      <c r="AH36" s="1"/>
    </row>
  </sheetData>
  <hyperlinks>
    <hyperlink ref="A1" location="TableOfContents!A1" display="Back to 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36</vt:i4>
      </vt:variant>
    </vt:vector>
  </HeadingPairs>
  <TitlesOfParts>
    <vt:vector size="36" baseType="lpstr">
      <vt:lpstr>TableOfContents</vt:lpstr>
      <vt:lpstr>GPPpercapita</vt:lpstr>
      <vt:lpstr>Incomepercapita</vt:lpstr>
      <vt:lpstr>Electricity</vt:lpstr>
      <vt:lpstr>Inequality</vt:lpstr>
      <vt:lpstr>PovertyAnnual</vt:lpstr>
      <vt:lpstr>PovertySemesters</vt:lpstr>
      <vt:lpstr>Employment</vt:lpstr>
      <vt:lpstr>PublicEmployment</vt:lpstr>
      <vt:lpstr>PublicSpendHealth</vt:lpstr>
      <vt:lpstr>PublicSpendNonHealth</vt:lpstr>
      <vt:lpstr>HealthSpPubVsPriv</vt:lpstr>
      <vt:lpstr>BirthAttendance</vt:lpstr>
      <vt:lpstr>HealthPersFacil</vt:lpstr>
      <vt:lpstr>WaterSanitHous</vt:lpstr>
      <vt:lpstr>Education</vt:lpstr>
      <vt:lpstr>MortalityInfant</vt:lpstr>
      <vt:lpstr>MortalityMaternal</vt:lpstr>
      <vt:lpstr>MortalityOther</vt:lpstr>
      <vt:lpstr>Population</vt:lpstr>
      <vt:lpstr>PopulationAged65plus</vt:lpstr>
      <vt:lpstr>Urbanization</vt:lpstr>
      <vt:lpstr>PopulationDensity</vt:lpstr>
      <vt:lpstr>Geography</vt:lpstr>
      <vt:lpstr>ProvLegInstit</vt:lpstr>
      <vt:lpstr>ProvDepsTurnout</vt:lpstr>
      <vt:lpstr>ProvDepsElecCompet</vt:lpstr>
      <vt:lpstr>ProvDepsPJPluralityVote</vt:lpstr>
      <vt:lpstr>ProvDepsGenderQuota</vt:lpstr>
      <vt:lpstr>ProvDepsTotalSeats</vt:lpstr>
      <vt:lpstr>ProvDepsTotalSeats2ºSources</vt:lpstr>
      <vt:lpstr>ProvDepsNºFem1ºSources</vt:lpstr>
      <vt:lpstr>ProvDepsPctFem1ºSources</vt:lpstr>
      <vt:lpstr>ProvDepsPctFem2ºSources</vt:lpstr>
      <vt:lpstr>ProvDepsPctFemAllSources</vt:lpstr>
      <vt:lpstr>NatDepsPctFemale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James McGuire</cp:lastModifiedBy>
  <dcterms:created xsi:type="dcterms:W3CDTF">2009-12-26T02:43:21Z</dcterms:created>
  <dcterms:modified xsi:type="dcterms:W3CDTF">2018-09-06T17:40:25Z</dcterms:modified>
</cp:coreProperties>
</file>